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850" tabRatio="869" activeTab="4"/>
  </bookViews>
  <sheets>
    <sheet name="ANAGRAFICA" sheetId="23" r:id="rId1"/>
    <sheet name="PUL_AB MQ" sheetId="18" r:id="rId2"/>
    <sheet name="PUL PRP_AB ORE" sheetId="40" r:id="rId3"/>
    <sheet name="DIS_AB" sheetId="19" r:id="rId4"/>
    <sheet name="SMA_AB" sheetId="20" r:id="rId5"/>
    <sheet name="Riepilogo Canoni" sheetId="16" state="hidden" r:id="rId6"/>
  </sheets>
  <externalReferences>
    <externalReference r:id="rId7"/>
    <externalReference r:id="rId8"/>
  </externalReferences>
  <definedNames>
    <definedName name="_Toc518481871" localSheetId="0">ANAGRAFICA!$B$3</definedName>
    <definedName name="_Toc518481871" localSheetId="3">DIS_AB!$B$3</definedName>
    <definedName name="_Toc518481871" localSheetId="2">'PUL PRP_AB ORE'!$B$3</definedName>
    <definedName name="_Toc518481871" localSheetId="1">'PUL_AB MQ'!$A$3</definedName>
    <definedName name="_Toc518481871" localSheetId="4">SMA_AB!$B$3</definedName>
    <definedName name="base_asta" localSheetId="2">#REF!</definedName>
    <definedName name="base_asta">#REF!</definedName>
    <definedName name="CANMESE" localSheetId="2">#REF!</definedName>
    <definedName name="CANMESE">#REF!</definedName>
    <definedName name="canonemese" localSheetId="2">#REF!</definedName>
    <definedName name="canonemese">#REF!</definedName>
    <definedName name="Classe_di_elementi">[1]PUL!$AA$6:$AA$24</definedName>
    <definedName name="COM" localSheetId="2">#REF!</definedName>
    <definedName name="COM">#REF!</definedName>
    <definedName name="comun" localSheetId="2">#REF!</definedName>
    <definedName name="comun">#REF!</definedName>
    <definedName name="Comuni" localSheetId="2">#REF!</definedName>
    <definedName name="Comuni">#REF!</definedName>
    <definedName name="ee" localSheetId="2">#REF!</definedName>
    <definedName name="ee">#REF!</definedName>
    <definedName name="mq_gg" localSheetId="2">#REF!</definedName>
    <definedName name="mq_gg">#REF!</definedName>
    <definedName name="ore_lu_ve" localSheetId="2">#REF!</definedName>
    <definedName name="ore_lu_ve">#REF!</definedName>
    <definedName name="oremese" localSheetId="2">#REF!</definedName>
    <definedName name="oremese">#REF!</definedName>
    <definedName name="Print_Area_0" localSheetId="2">#REF!</definedName>
    <definedName name="Print_Area_0">#REF!</definedName>
    <definedName name="Print_Area_1" localSheetId="2">#REF!</definedName>
    <definedName name="Print_Area_1">#REF!</definedName>
    <definedName name="Print_Area_2" localSheetId="2">#REF!</definedName>
    <definedName name="Print_Area_2">#REF!</definedName>
    <definedName name="Print_Area_4" localSheetId="2">#REF!</definedName>
    <definedName name="Print_Area_4">#REF!</definedName>
    <definedName name="Print_Area_5" localSheetId="2">#REF!</definedName>
    <definedName name="Print_Area_5">#REF!</definedName>
    <definedName name="Print_Area_6" localSheetId="2">#REF!</definedName>
    <definedName name="Print_Area_6">#REF!</definedName>
    <definedName name="Print_Area_7" localSheetId="2">#REF!</definedName>
    <definedName name="Print_Area_7">#REF!</definedName>
    <definedName name="Print_Area_8" localSheetId="2">#REF!</definedName>
    <definedName name="Print_Area_8">#REF!</definedName>
    <definedName name="tipo">[2]Foglio1!$D$1:$D$4</definedName>
    <definedName name="Tipologia_di_operazione">[1]PUL!$AB$6:$AB$15</definedName>
    <definedName name="Tot._mq" localSheetId="2">#REF!</definedName>
    <definedName name="Tot._mq">#REF!</definedName>
    <definedName name="Tot_mq" localSheetId="2">#REF!</definedName>
    <definedName name="Tot_mq">#REF!</definedName>
  </definedNames>
  <calcPr calcId="162913"/>
</workbook>
</file>

<file path=xl/calcChain.xml><?xml version="1.0" encoding="utf-8"?>
<calcChain xmlns="http://schemas.openxmlformats.org/spreadsheetml/2006/main">
  <c r="C44" i="40" l="1"/>
  <c r="H43" i="40"/>
  <c r="I43" i="40" s="1"/>
  <c r="J43" i="40" s="1"/>
  <c r="J42" i="40"/>
  <c r="I42" i="40"/>
  <c r="H35" i="40"/>
  <c r="I35" i="40" s="1"/>
  <c r="J35" i="40" s="1"/>
  <c r="H34" i="40"/>
  <c r="H36" i="40" s="1"/>
  <c r="J44" i="40" l="1"/>
  <c r="I44" i="40"/>
  <c r="H44" i="40"/>
  <c r="I34" i="40"/>
  <c r="I36" i="40" s="1"/>
  <c r="J34" i="40" l="1"/>
  <c r="J36" i="40" s="1"/>
  <c r="H8" i="40"/>
  <c r="H22" i="40" l="1"/>
  <c r="I23" i="40" l="1"/>
  <c r="I19" i="40"/>
  <c r="I6" i="40"/>
  <c r="H21" i="40"/>
  <c r="H20" i="40"/>
  <c r="H19" i="40"/>
  <c r="J19" i="40" s="1"/>
  <c r="K19" i="40" s="1"/>
  <c r="L19" i="40" s="1"/>
  <c r="H12" i="40"/>
  <c r="H17" i="40"/>
  <c r="H15" i="40"/>
  <c r="H23" i="40"/>
  <c r="J23" i="40" s="1"/>
  <c r="K23" i="40" s="1"/>
  <c r="L23" i="40" s="1"/>
  <c r="H9" i="40"/>
  <c r="J6" i="40" s="1"/>
  <c r="E7" i="40"/>
  <c r="L7" i="20"/>
  <c r="M8" i="20"/>
  <c r="L8" i="20"/>
  <c r="M11" i="19"/>
  <c r="K11" i="19"/>
  <c r="I11" i="19"/>
  <c r="G11" i="19"/>
  <c r="E11" i="19"/>
  <c r="C11" i="19"/>
  <c r="M10" i="19"/>
  <c r="M13" i="19" s="1"/>
  <c r="K10" i="19"/>
  <c r="I10" i="19"/>
  <c r="G10" i="19"/>
  <c r="E10" i="19"/>
  <c r="C10" i="19"/>
  <c r="M9" i="19"/>
  <c r="K9" i="19"/>
  <c r="I9" i="19"/>
  <c r="G9" i="19"/>
  <c r="E9" i="19"/>
  <c r="C9" i="19"/>
  <c r="C8" i="19"/>
  <c r="H12" i="19"/>
  <c r="J12" i="19"/>
  <c r="L12" i="19"/>
  <c r="M12" i="19"/>
  <c r="N12" i="19"/>
  <c r="O12" i="19"/>
  <c r="D13" i="19"/>
  <c r="H13" i="19"/>
  <c r="J13" i="19"/>
  <c r="L13" i="19"/>
  <c r="N13" i="19"/>
  <c r="O13" i="19"/>
  <c r="O12" i="18"/>
  <c r="M12" i="18"/>
  <c r="O11" i="18"/>
  <c r="N11" i="18"/>
  <c r="N12" i="18" s="1"/>
  <c r="M11" i="18"/>
  <c r="L11" i="18"/>
  <c r="L12" i="18" s="1"/>
  <c r="J11" i="18"/>
  <c r="J12" i="18" s="1"/>
  <c r="F11" i="18"/>
  <c r="F12" i="18" s="1"/>
  <c r="R9" i="18"/>
  <c r="R11" i="18" s="1"/>
  <c r="R12" i="18" s="1"/>
  <c r="P9" i="18"/>
  <c r="P11" i="18" s="1"/>
  <c r="P12" i="18" s="1"/>
  <c r="I9" i="18"/>
  <c r="E9" i="18"/>
  <c r="C9" i="18"/>
  <c r="R8" i="18"/>
  <c r="N8" i="18"/>
  <c r="H8" i="18"/>
  <c r="I8" i="18"/>
  <c r="E8" i="18"/>
  <c r="D8" i="18"/>
  <c r="D11" i="18" s="1"/>
  <c r="D12" i="18" s="1"/>
  <c r="C8" i="18"/>
  <c r="K7" i="18"/>
  <c r="K11" i="18" s="1"/>
  <c r="K12" i="18" s="1"/>
  <c r="J7" i="18"/>
  <c r="I7" i="18"/>
  <c r="I11" i="18" s="1"/>
  <c r="I12" i="18" s="1"/>
  <c r="H7" i="18"/>
  <c r="H11" i="18" s="1"/>
  <c r="H12" i="18" s="1"/>
  <c r="G7" i="18"/>
  <c r="G11" i="18" s="1"/>
  <c r="G12" i="18" s="1"/>
  <c r="F7" i="18"/>
  <c r="E7" i="18"/>
  <c r="E11" i="18" s="1"/>
  <c r="E12" i="18" s="1"/>
  <c r="D7" i="18"/>
  <c r="C7" i="18"/>
  <c r="R7" i="18"/>
  <c r="Q7" i="18"/>
  <c r="Q11" i="18" s="1"/>
  <c r="Q12" i="18" s="1"/>
  <c r="K6" i="40" l="1"/>
  <c r="J24" i="40"/>
  <c r="C13" i="19"/>
  <c r="I13" i="19"/>
  <c r="G12" i="19"/>
  <c r="K12" i="19"/>
  <c r="D12" i="19"/>
  <c r="F12" i="19"/>
  <c r="F13" i="19"/>
  <c r="E12" i="19"/>
  <c r="I12" i="19"/>
  <c r="C12" i="19"/>
  <c r="G13" i="19"/>
  <c r="K13" i="19"/>
  <c r="E13" i="19"/>
  <c r="S7" i="18"/>
  <c r="L6" i="40" l="1"/>
  <c r="L24" i="40" s="1"/>
  <c r="K24" i="40"/>
  <c r="H13" i="18"/>
  <c r="E13" i="18"/>
  <c r="C13" i="18"/>
  <c r="R13" i="18" l="1"/>
  <c r="Q13" i="18"/>
  <c r="P13" i="18"/>
  <c r="O13" i="18"/>
  <c r="N13" i="18"/>
  <c r="M13" i="18"/>
  <c r="L13" i="18"/>
  <c r="J13" i="18"/>
  <c r="I13" i="18"/>
  <c r="S13" i="18" l="1"/>
  <c r="E10" i="20" l="1"/>
  <c r="F10" i="20"/>
  <c r="G10" i="20"/>
  <c r="H10" i="20"/>
  <c r="I10" i="20"/>
  <c r="J10" i="20"/>
  <c r="K10" i="20"/>
  <c r="D10" i="20"/>
  <c r="E14" i="18"/>
  <c r="H14" i="18"/>
  <c r="I14" i="18"/>
  <c r="J14" i="18"/>
  <c r="L14" i="18"/>
  <c r="M14" i="18"/>
  <c r="N14" i="18"/>
  <c r="O14" i="18"/>
  <c r="P14" i="18"/>
  <c r="Q14" i="18"/>
  <c r="R14" i="18"/>
  <c r="C14" i="18"/>
  <c r="C11" i="18"/>
  <c r="C12" i="18" s="1"/>
  <c r="S12" i="18" s="1"/>
  <c r="S15" i="18" s="1"/>
  <c r="S10" i="18"/>
  <c r="S9" i="18"/>
  <c r="S8" i="18"/>
  <c r="S11" i="18" l="1"/>
  <c r="S14" i="18"/>
</calcChain>
</file>

<file path=xl/sharedStrings.xml><?xml version="1.0" encoding="utf-8"?>
<sst xmlns="http://schemas.openxmlformats.org/spreadsheetml/2006/main" count="212" uniqueCount="133">
  <si>
    <t>Trattamento deterrente da rettili</t>
  </si>
  <si>
    <t>Toner per stampa esauriti, diversi da quelli di cui alla voce 08 03 17</t>
  </si>
  <si>
    <t>Rifiuti che devono essere raccolti e smaltiti applicando precauzioni per evitare infezioni</t>
  </si>
  <si>
    <t>Area tipo 7 - Cucine</t>
  </si>
  <si>
    <t>Area tipo 11 - Corpi di Guardia</t>
  </si>
  <si>
    <t>Totale</t>
  </si>
  <si>
    <t>Giorni a settimana</t>
  </si>
  <si>
    <t>Area tipo 10 - Camere</t>
  </si>
  <si>
    <t>180202*</t>
  </si>
  <si>
    <t>NOTE:</t>
  </si>
  <si>
    <t>080318</t>
  </si>
  <si>
    <r>
      <t>Servizio di Pulizia - Attività Integrative (C</t>
    </r>
    <r>
      <rPr>
        <vertAlign val="subscript"/>
        <sz val="11"/>
        <color theme="1"/>
        <rFont val="Calibri"/>
        <family val="2"/>
        <scheme val="minor"/>
      </rPr>
      <t>AI</t>
    </r>
    <r>
      <rPr>
        <sz val="11"/>
        <color theme="1"/>
        <rFont val="Calibri"/>
        <family val="2"/>
        <scheme val="minor"/>
      </rPr>
      <t>) + Aggiuntive (C</t>
    </r>
    <r>
      <rPr>
        <vertAlign val="subscript"/>
        <sz val="11"/>
        <color theme="1"/>
        <rFont val="Calibri"/>
        <family val="2"/>
        <scheme val="minor"/>
      </rPr>
      <t>AA</t>
    </r>
    <r>
      <rPr>
        <sz val="11"/>
        <color theme="1"/>
        <rFont val="Calibri"/>
        <family val="2"/>
        <scheme val="minor"/>
      </rPr>
      <t>) - Canone presunto</t>
    </r>
  </si>
  <si>
    <t>Servizio di pulizia - Attività a richiesta - Extra canone presunto</t>
  </si>
  <si>
    <t>Servizio di pulizia - Attività integrative più aggiuntive più a richiesta - Extra-canone presunto</t>
  </si>
  <si>
    <t>Servizio di disinfestazione - Attività straordinarie - Extra canone presunto</t>
  </si>
  <si>
    <r>
      <t>Servizio di pulizia - - Attività Ordinarie - Canone presunto  (C</t>
    </r>
    <r>
      <rPr>
        <vertAlign val="subscript"/>
        <sz val="11"/>
        <color theme="1"/>
        <rFont val="Calibri"/>
        <family val="2"/>
        <scheme val="minor"/>
      </rPr>
      <t>AO</t>
    </r>
    <r>
      <rPr>
        <sz val="11"/>
        <color theme="1"/>
        <rFont val="Calibri"/>
        <family val="2"/>
        <scheme val="minor"/>
      </rPr>
      <t>)</t>
    </r>
  </si>
  <si>
    <r>
      <t>Servizio di disinfestazione - Attività ordinarie - Canone presunto (C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</si>
  <si>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t>Servizio di raccolta e smaltimento rifiuti speciali - Attività  straordinarie - Canone presunto</t>
  </si>
  <si>
    <r>
      <t>Servizio di raccolta e smaltimento rifiuti speciali - Attività ordinarie - Canone presunto (C</t>
    </r>
    <r>
      <rPr>
        <vertAlign val="subscript"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)</t>
    </r>
  </si>
  <si>
    <t>Servizio</t>
  </si>
  <si>
    <t>Voce</t>
  </si>
  <si>
    <t>mq sup. netta da trattare</t>
  </si>
  <si>
    <t>NOME IMMOBILE</t>
  </si>
  <si>
    <t>INDIRIZZO</t>
  </si>
  <si>
    <t>COMUNE</t>
  </si>
  <si>
    <t>PROVINCIA</t>
  </si>
  <si>
    <t>REGIONE</t>
  </si>
  <si>
    <t>FREQUENZA (gg/sett)</t>
  </si>
  <si>
    <t xml:space="preserve">Area tipo 2 -Spazi Connettivi </t>
  </si>
  <si>
    <t>Area tipo 3 - Servizi Igienici</t>
  </si>
  <si>
    <t>Area tipo 4 - Aree Tecniche</t>
  </si>
  <si>
    <t>Area tipo 5 - Aree Polifunzionali</t>
  </si>
  <si>
    <t>Area tipo 6 - Mense</t>
  </si>
  <si>
    <t>Area tipo 13 - Spazi espositivi</t>
  </si>
  <si>
    <t>Metri quadrati totali immobile</t>
  </si>
  <si>
    <t>di cui 5 su 7</t>
  </si>
  <si>
    <t>di cui 6 su 7</t>
  </si>
  <si>
    <t>Derattizzazione</t>
  </si>
  <si>
    <t>di cui 7 su 7</t>
  </si>
  <si>
    <t>Disinfestazione da ditteri</t>
  </si>
  <si>
    <t>Deblatizzazione</t>
  </si>
  <si>
    <t>mq sup. da trattare</t>
  </si>
  <si>
    <t>Disinfestazione da zanzare, pappataci, simulidi - Intervento antilarvale</t>
  </si>
  <si>
    <t>Disinfestazione da zanzare, pappataci, simulidi - Trattamento adulticida</t>
  </si>
  <si>
    <t>kg/anno</t>
  </si>
  <si>
    <t>N° trasporti/anno</t>
  </si>
  <si>
    <t>Codice EER</t>
  </si>
  <si>
    <t>Immobile ID 1</t>
  </si>
  <si>
    <t>Immobile ID 2</t>
  </si>
  <si>
    <t>Immobile ID 3</t>
  </si>
  <si>
    <t>Immobile ID 4</t>
  </si>
  <si>
    <t>Si evidenzia che I CODICI EER contrassegnati dall’asterisco (*) indicano Rifiuti Pericolosi.</t>
  </si>
  <si>
    <t>Orario richiesto</t>
  </si>
  <si>
    <t>N° ore giornaliere</t>
  </si>
  <si>
    <t>N° risorse giornaliere</t>
  </si>
  <si>
    <t>Servizio di Derattizzazione e Disinfestazione (Dettaglio immobili e Quantità) - Fabbisogno Attività Ordinarie di Base</t>
  </si>
  <si>
    <t>Servizio di Pulizia (dettaglio immobili e quantità) – Fabbisogno Attività Ordinarie di Base</t>
  </si>
  <si>
    <t>ID IMMOBILE</t>
  </si>
  <si>
    <t>Anagrafica immobili</t>
  </si>
  <si>
    <t>ID Immobile</t>
  </si>
  <si>
    <t>Totale immobili</t>
  </si>
  <si>
    <t>N. immobili oggetto del servizio</t>
  </si>
  <si>
    <t>Totale per immobile</t>
  </si>
  <si>
    <t>Totale per Codice EER</t>
  </si>
  <si>
    <t>Aree interne</t>
  </si>
  <si>
    <t>Aree esterne</t>
  </si>
  <si>
    <t>Servizio di Raccolta/trasporto e conferimento di rifiuti speciali  (dettaglio immobili e quantità) - Fabbisogno Attività Ordinarie di Base</t>
  </si>
  <si>
    <t>Palazzo Spada</t>
  </si>
  <si>
    <t>Piazza Capo di Ferro, 13</t>
  </si>
  <si>
    <t>Roma</t>
  </si>
  <si>
    <t>RM</t>
  </si>
  <si>
    <t>Lazio</t>
  </si>
  <si>
    <t>Palazzo Ossoli</t>
  </si>
  <si>
    <t>Piazza della Quercia</t>
  </si>
  <si>
    <t>Archivio Monti della Farnesina</t>
  </si>
  <si>
    <t>5 su 7</t>
  </si>
  <si>
    <t>14-18</t>
  </si>
  <si>
    <t>Palazzo Aldobrandini</t>
  </si>
  <si>
    <t>Piazza del Monte di Pietà 33</t>
  </si>
  <si>
    <t>Via Monti della Farnesina 79/C</t>
  </si>
  <si>
    <t>13-17</t>
  </si>
  <si>
    <t xml:space="preserve">Area omogenea 1 - Uffici </t>
  </si>
  <si>
    <t xml:space="preserve">Area omogenea 1 bis - Uffici di rappresentanza </t>
  </si>
  <si>
    <t>Area tipo 2  bis -Spazi Connettivi con finiture di elevato pregio storico e artistico</t>
  </si>
  <si>
    <t>Area tipo 2  ter -Spazi Connettivi stanze, corridoi con finiture di elevato pregio storico e artistico</t>
  </si>
  <si>
    <t>Area tipo 5 bis- Aree Polifunzionali con finiture di elevato pregio storico artistico</t>
  </si>
  <si>
    <t xml:space="preserve">Area tipo 14 e 14  bis - Biblioteche e Sale di lettura </t>
  </si>
  <si>
    <t>Area tipo 15 - Aree Esterne  non a verde</t>
  </si>
  <si>
    <t xml:space="preserve">Disinfestazione da insetti striscianti ed altri artropodi </t>
  </si>
  <si>
    <t>Livello</t>
  </si>
  <si>
    <t>N° ore settimanali</t>
  </si>
  <si>
    <t>1 e 2</t>
  </si>
  <si>
    <t>6-14</t>
  </si>
  <si>
    <t>6-11</t>
  </si>
  <si>
    <t xml:space="preserve"> 6-11 (M,M,V) </t>
  </si>
  <si>
    <t>6-10 (L)</t>
  </si>
  <si>
    <t>6-12 (G)</t>
  </si>
  <si>
    <t>6-11 (L,M,M,V)</t>
  </si>
  <si>
    <t>6-12 (L,M,M,G)</t>
  </si>
  <si>
    <t>6-14 (V)</t>
  </si>
  <si>
    <t xml:space="preserve"> 6-11 (L, ME) </t>
  </si>
  <si>
    <t>6-12 (MA, G)</t>
  </si>
  <si>
    <t>6-10 (V)</t>
  </si>
  <si>
    <t>6-13</t>
  </si>
  <si>
    <t>6-9</t>
  </si>
  <si>
    <t>6-9,30</t>
  </si>
  <si>
    <t>1  e 2</t>
  </si>
  <si>
    <t>Totale ore settimanale per immobile</t>
  </si>
  <si>
    <t>Totale unità  per immobile</t>
  </si>
  <si>
    <t>N°ore giornaliere</t>
  </si>
  <si>
    <t>3*</t>
  </si>
  <si>
    <t>1**</t>
  </si>
  <si>
    <t>N. ore/anno</t>
  </si>
  <si>
    <t>N. ore durata effettiva contratto</t>
  </si>
  <si>
    <t>N° ore anno</t>
  </si>
  <si>
    <t>N° ore durata effettiva contratto</t>
  </si>
  <si>
    <t>2*</t>
  </si>
  <si>
    <t>1*</t>
  </si>
  <si>
    <t>Totale fabbisogno attività ordinarie</t>
  </si>
  <si>
    <t>Servizio di Presidio di Pulizia (dettaglio immobili e quantità) - N. ore/unità minime (PRP_AB)</t>
  </si>
  <si>
    <t>* Nella sede 3 c'è un'altra unità che svolge solo attività di presidio (cfr PRP_AB)</t>
  </si>
  <si>
    <t xml:space="preserve">** L' unità in questione effettua anche il presidio 5 gg a settimana 4 ore (cfr PRP_ORE) </t>
  </si>
  <si>
    <t>1 ,2 e 4</t>
  </si>
  <si>
    <t>vedi schemi precedenti</t>
  </si>
  <si>
    <t>* L' unità in questione effettua anche servizio ordinario ( cfr  PUL_AB_ ORE)</t>
  </si>
  <si>
    <t>Servizio di Pulizia (dettaglio immobili e quantità) -  N. ore/unità minime (PUL_AB_ ORE)</t>
  </si>
  <si>
    <t xml:space="preserve">
APPALTO SPECIFICO INDETTO DAL SEGRETARIATO GENERALE DELLA GIUSTIZIA AMMINISTRATIVA – UFFICIO UNICO CONTRATTI E RISORSE – PER L’AFFIDAMENTO DEI SERVIZI DI PULIZIA E IGIENE AMBIENTALE IVI COMPRESA LA FORNITURA DEL MATERIALE IGIENICO SANITARIO NELL’AMBITO DELLO SDA PER LA FORNITURA DEI “SERVIZI AGLI IMMOBILI” IN USO, A QUALSIASI TITOLO, ALLE PUBBLICHE AMMINISTRAZIONI - LOTTO 1 -  CAT. MERCEOLOGICA N. 1 - CIG 95172868DB
</t>
  </si>
  <si>
    <t xml:space="preserve">
APPALTO SPECIFICO INDETTO DAL SEGRETARIATO GENERALE DELLA GIUSTIZIA AMMINISTRATIVA – UFFICIO UNICO CONTRATTI E RISORSE – PER L’AFFIDAMENTO DEI SERVIZI DI PULIZIA E IGIENE AMBIENTALE IVI COMPRESA LA FORNITURA DEL MATERIALE IGIENICO SANITARIO NELL’AMBITO DELLO SDA PER LA FORNITURA DEI “SERVIZI AGLI IMMOBILI” IN USO, A QUALSIASI TITOLO, ALLE PUBBLICHE AMMINISTRAZIONI 
</t>
  </si>
  <si>
    <t>LOTTO 1 -  CAT. MERCEOLOGICA N. 1 - CIG 95172868DB</t>
  </si>
  <si>
    <t xml:space="preserve">
APPALTO SPECIFICO INDETTO DAL SEGRETARIATO GENERALE DELLA GIUSTIZIA AMMINISTRATIVA – UFFICIO UNICO CONTRATTI E RISORSE – PER L’AFFIDAMENTO DEI SERVIZI DI PULIZIA E IGIENE AMBIENTALE IVI COMPRESA LA FORNITURA DEL MATERIALE IGIENICO SANITARIO NELL’AMBITO DELLO SDA PER LA FORNITURA DEI “SERVIZI AGLI IMMOBILI” IN USO, A QUALSIASI TITOLO, ALLE PUBBLICHE AMMINISTRAZIONI - </t>
  </si>
  <si>
    <t xml:space="preserve">LOTTO 1 -  CAT. MERCEOLOGICA N. 1 - CIG 95172868DB - Fabbisogno Attività Ordinarie di Base </t>
  </si>
  <si>
    <t xml:space="preserve">
APPALTO SPECIFICO INDETTO DAL SEGRETARIATO GENERALE DELLA GIUSTIZIA AMMINISTRATIVA – UFFICIO UNICO CONTRATTI E RISORSE – PER L’AFFIDAMENTO DEI SERVIZI DI PULIZIA E IGIENE AMBIENTALE IVI COMPRESA LA FORNITURA DEL MATERIALE IGIENICO SANITARIO NELL’AMBITO DELLO SDA PER LA FORNITURA DEI “SERVIZI AGLI IMMOBILI” IN USO, A QUALSIASI TITOLO, ALLE PUBBLICHE AMMINISTRAZIONI  -
</t>
  </si>
  <si>
    <t xml:space="preserve">APPALTO SPECIFICO INDETTO DA  CONSIGLIO DI STATO - UFFICIO UNICO CONTRATTI E RISORSE PER L’AFFIDAMENTO DEL SERVIZIO DEI PULIZIA NELL’AMBITO DELLO SDA SERVIZI AGLI IMMOBILI IN USO, A QUALSIASI TITOLO, ALLE PUBBLICHE AMMINISTRAZIONI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</si>
</sst>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14996795556505021"/>
      </left>
      <right/>
      <top style="thin">
        <color theme="0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1">
    <xf numFmtId="0" fontId="0" fillId="0" borderId="0" xfId="0"/>
    <xf numFmtId="0" fontId="0" fillId="0" borderId="1" xfId="0" applyFont="1" applyBorder="1" applyAlignment="1" applyProtection="1">
      <alignment horizontal="justify" vertical="center" wrapText="1"/>
      <protection locked="0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3" fontId="7" fillId="2" borderId="5" xfId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43" fontId="10" fillId="0" borderId="8" xfId="1" applyFont="1" applyBorder="1" applyAlignment="1">
      <alignment vertical="center"/>
    </xf>
    <xf numFmtId="43" fontId="10" fillId="0" borderId="9" xfId="1" applyFont="1" applyBorder="1" applyAlignment="1">
      <alignment vertical="center"/>
    </xf>
    <xf numFmtId="0" fontId="0" fillId="0" borderId="0" xfId="0" applyAlignment="1">
      <alignment vertical="center"/>
    </xf>
    <xf numFmtId="43" fontId="9" fillId="6" borderId="5" xfId="1" applyFont="1" applyFill="1" applyBorder="1" applyAlignment="1">
      <alignment horizontal="center" vertical="center" wrapText="1"/>
    </xf>
    <xf numFmtId="43" fontId="11" fillId="4" borderId="5" xfId="1" applyFont="1" applyFill="1" applyBorder="1" applyAlignment="1">
      <alignment horizontal="right" vertical="center" wrapText="1"/>
    </xf>
    <xf numFmtId="43" fontId="10" fillId="0" borderId="7" xfId="1" applyFont="1" applyBorder="1" applyAlignment="1">
      <alignment vertical="center"/>
    </xf>
    <xf numFmtId="43" fontId="9" fillId="3" borderId="5" xfId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/>
    </xf>
    <xf numFmtId="0" fontId="12" fillId="0" borderId="0" xfId="0" applyFont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43" fontId="6" fillId="4" borderId="5" xfId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left"/>
    </xf>
    <xf numFmtId="43" fontId="16" fillId="0" borderId="9" xfId="1" applyFont="1" applyBorder="1" applyAlignment="1">
      <alignment vertical="center"/>
    </xf>
    <xf numFmtId="164" fontId="0" fillId="0" borderId="0" xfId="0" applyNumberFormat="1"/>
    <xf numFmtId="43" fontId="15" fillId="7" borderId="9" xfId="1" applyFont="1" applyFill="1" applyBorder="1" applyAlignment="1">
      <alignment vertical="center"/>
    </xf>
    <xf numFmtId="43" fontId="9" fillId="3" borderId="20" xfId="1" applyFont="1" applyFill="1" applyBorder="1" applyAlignment="1">
      <alignment horizontal="center" vertical="center"/>
    </xf>
    <xf numFmtId="0" fontId="0" fillId="0" borderId="0" xfId="0" applyAlignment="1"/>
    <xf numFmtId="43" fontId="15" fillId="7" borderId="9" xfId="1" applyFont="1" applyFill="1" applyBorder="1" applyAlignment="1">
      <alignment horizontal="center" vertical="center"/>
    </xf>
    <xf numFmtId="1" fontId="10" fillId="7" borderId="9" xfId="1" applyNumberFormat="1" applyFont="1" applyFill="1" applyBorder="1" applyAlignment="1">
      <alignment horizontal="center" vertical="center"/>
    </xf>
    <xf numFmtId="43" fontId="10" fillId="7" borderId="9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49" fontId="0" fillId="7" borderId="23" xfId="0" applyNumberFormat="1" applyFill="1" applyBorder="1" applyAlignment="1">
      <alignment horizontal="center" vertical="center"/>
    </xf>
    <xf numFmtId="49" fontId="0" fillId="7" borderId="23" xfId="0" applyNumberFormat="1" applyFill="1" applyBorder="1" applyAlignment="1">
      <alignment horizontal="center" vertical="center" wrapText="1"/>
    </xf>
    <xf numFmtId="1" fontId="0" fillId="7" borderId="23" xfId="0" applyNumberFormat="1" applyFill="1" applyBorder="1" applyAlignment="1">
      <alignment horizontal="center" vertical="center"/>
    </xf>
    <xf numFmtId="4" fontId="0" fillId="7" borderId="23" xfId="0" applyNumberForma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49" fontId="15" fillId="7" borderId="25" xfId="1" applyNumberFormat="1" applyFon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49" fontId="0" fillId="7" borderId="28" xfId="0" applyNumberFormat="1" applyFill="1" applyBorder="1" applyAlignment="1">
      <alignment horizontal="center" vertical="center"/>
    </xf>
    <xf numFmtId="1" fontId="0" fillId="7" borderId="28" xfId="0" applyNumberForma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9" fillId="7" borderId="34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49" fontId="0" fillId="3" borderId="25" xfId="0" applyNumberFormat="1" applyFill="1" applyBorder="1" applyAlignment="1">
      <alignment horizontal="center" vertical="center"/>
    </xf>
    <xf numFmtId="1" fontId="15" fillId="3" borderId="25" xfId="1" applyNumberFormat="1" applyFont="1" applyFill="1" applyBorder="1" applyAlignment="1">
      <alignment horizontal="center" vertical="center"/>
    </xf>
    <xf numFmtId="4" fontId="15" fillId="3" borderId="25" xfId="1" applyNumberFormat="1" applyFont="1" applyFill="1" applyBorder="1" applyAlignment="1">
      <alignment horizontal="center" vertical="center"/>
    </xf>
    <xf numFmtId="4" fontId="15" fillId="3" borderId="26" xfId="1" applyNumberFormat="1" applyFon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1" fontId="15" fillId="3" borderId="23" xfId="1" applyNumberFormat="1" applyFont="1" applyFill="1" applyBorder="1" applyAlignment="1">
      <alignment horizontal="center" vertical="center"/>
    </xf>
    <xf numFmtId="4" fontId="15" fillId="3" borderId="23" xfId="1" applyNumberFormat="1" applyFont="1" applyFill="1" applyBorder="1" applyAlignment="1">
      <alignment horizontal="center" vertical="center"/>
    </xf>
    <xf numFmtId="4" fontId="15" fillId="3" borderId="27" xfId="1" applyNumberFormat="1" applyFont="1" applyFill="1" applyBorder="1" applyAlignment="1">
      <alignment horizontal="center" vertical="center"/>
    </xf>
    <xf numFmtId="49" fontId="0" fillId="3" borderId="28" xfId="0" applyNumberFormat="1" applyFill="1" applyBorder="1" applyAlignment="1">
      <alignment horizontal="center" vertical="center"/>
    </xf>
    <xf numFmtId="1" fontId="15" fillId="3" borderId="28" xfId="1" applyNumberFormat="1" applyFont="1" applyFill="1" applyBorder="1" applyAlignment="1">
      <alignment horizontal="center" vertical="center"/>
    </xf>
    <xf numFmtId="4" fontId="15" fillId="3" borderId="28" xfId="1" applyNumberFormat="1" applyFont="1" applyFill="1" applyBorder="1" applyAlignment="1">
      <alignment horizontal="center" vertical="center"/>
    </xf>
    <xf numFmtId="4" fontId="15" fillId="3" borderId="29" xfId="1" applyNumberFormat="1" applyFont="1" applyFill="1" applyBorder="1" applyAlignment="1">
      <alignment horizontal="center" vertical="center"/>
    </xf>
    <xf numFmtId="4" fontId="0" fillId="7" borderId="26" xfId="0" applyNumberFormat="1" applyFill="1" applyBorder="1" applyAlignment="1">
      <alignment horizontal="center" vertical="center"/>
    </xf>
    <xf numFmtId="4" fontId="0" fillId="7" borderId="27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2" fontId="6" fillId="5" borderId="16" xfId="0" applyNumberFormat="1" applyFont="1" applyFill="1" applyBorder="1" applyAlignment="1">
      <alignment horizontal="center" vertical="center" wrapText="1"/>
    </xf>
    <xf numFmtId="1" fontId="6" fillId="5" borderId="16" xfId="0" applyNumberFormat="1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9" fillId="7" borderId="46" xfId="0" applyFont="1" applyFill="1" applyBorder="1" applyAlignment="1">
      <alignment horizontal="center" vertical="center"/>
    </xf>
    <xf numFmtId="1" fontId="15" fillId="0" borderId="31" xfId="1" applyNumberFormat="1" applyFont="1" applyBorder="1" applyAlignment="1">
      <alignment horizontal="center" vertical="center"/>
    </xf>
    <xf numFmtId="43" fontId="15" fillId="0" borderId="31" xfId="1" applyFont="1" applyBorder="1" applyAlignment="1">
      <alignment horizontal="center" vertical="center"/>
    </xf>
    <xf numFmtId="43" fontId="15" fillId="0" borderId="32" xfId="1" applyFont="1" applyBorder="1" applyAlignment="1">
      <alignment horizontal="center" vertical="center"/>
    </xf>
    <xf numFmtId="4" fontId="0" fillId="7" borderId="27" xfId="0" applyNumberForma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9" fillId="7" borderId="34" xfId="0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2" fontId="0" fillId="0" borderId="0" xfId="0" applyNumberFormat="1"/>
    <xf numFmtId="4" fontId="6" fillId="5" borderId="16" xfId="0" applyNumberFormat="1" applyFont="1" applyFill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/>
    </xf>
    <xf numFmtId="1" fontId="15" fillId="3" borderId="49" xfId="1" applyNumberFormat="1" applyFont="1" applyFill="1" applyBorder="1" applyAlignment="1">
      <alignment horizontal="center" vertical="center"/>
    </xf>
    <xf numFmtId="43" fontId="15" fillId="3" borderId="49" xfId="1" applyFont="1" applyFill="1" applyBorder="1" applyAlignment="1">
      <alignment horizontal="center" vertical="center"/>
    </xf>
    <xf numFmtId="43" fontId="15" fillId="3" borderId="50" xfId="1" applyFont="1" applyFill="1" applyBorder="1" applyAlignment="1">
      <alignment horizontal="center" vertical="center"/>
    </xf>
    <xf numFmtId="0" fontId="0" fillId="2" borderId="23" xfId="0" applyFill="1" applyBorder="1"/>
    <xf numFmtId="0" fontId="0" fillId="0" borderId="23" xfId="0" applyBorder="1" applyAlignment="1">
      <alignment horizontal="center"/>
    </xf>
    <xf numFmtId="0" fontId="17" fillId="0" borderId="0" xfId="0" applyFont="1"/>
    <xf numFmtId="1" fontId="15" fillId="0" borderId="23" xfId="1" applyNumberFormat="1" applyFont="1" applyBorder="1" applyAlignment="1">
      <alignment horizontal="center" vertical="center"/>
    </xf>
    <xf numFmtId="43" fontId="15" fillId="0" borderId="23" xfId="1" applyFont="1" applyBorder="1" applyAlignment="1">
      <alignment horizontal="center" vertical="center"/>
    </xf>
    <xf numFmtId="43" fontId="15" fillId="3" borderId="23" xfId="1" applyFont="1" applyFill="1" applyBorder="1" applyAlignment="1">
      <alignment horizontal="center" vertical="center"/>
    </xf>
    <xf numFmtId="0" fontId="9" fillId="7" borderId="51" xfId="0" applyFont="1" applyFill="1" applyBorder="1" applyAlignment="1">
      <alignment horizontal="center" vertical="center"/>
    </xf>
    <xf numFmtId="43" fontId="15" fillId="0" borderId="27" xfId="1" applyFont="1" applyBorder="1" applyAlignment="1">
      <alignment horizontal="center" vertical="center"/>
    </xf>
    <xf numFmtId="0" fontId="9" fillId="3" borderId="51" xfId="0" applyFont="1" applyFill="1" applyBorder="1" applyAlignment="1">
      <alignment horizontal="center" vertical="center"/>
    </xf>
    <xf numFmtId="43" fontId="15" fillId="3" borderId="27" xfId="1" applyFont="1" applyFill="1" applyBorder="1" applyAlignment="1">
      <alignment horizontal="center" vertical="center"/>
    </xf>
    <xf numFmtId="0" fontId="0" fillId="2" borderId="52" xfId="0" applyFill="1" applyBorder="1"/>
    <xf numFmtId="1" fontId="0" fillId="0" borderId="28" xfId="0" applyNumberFormat="1" applyBorder="1" applyAlignment="1">
      <alignment horizontal="center"/>
    </xf>
    <xf numFmtId="43" fontId="15" fillId="0" borderId="28" xfId="1" applyFont="1" applyBorder="1" applyAlignment="1">
      <alignment horizontal="center" vertical="center"/>
    </xf>
    <xf numFmtId="43" fontId="15" fillId="0" borderId="29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43" fontId="6" fillId="4" borderId="11" xfId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2" fontId="9" fillId="3" borderId="0" xfId="0" applyNumberFormat="1" applyFont="1" applyFill="1" applyBorder="1" applyAlignment="1">
      <alignment horizontal="center" vertical="center"/>
    </xf>
    <xf numFmtId="0" fontId="0" fillId="0" borderId="20" xfId="0" applyBorder="1" applyAlignment="1"/>
    <xf numFmtId="2" fontId="5" fillId="5" borderId="4" xfId="0" applyNumberFormat="1" applyFont="1" applyFill="1" applyBorder="1" applyAlignment="1">
      <alignment horizontal="center" vertical="center" wrapText="1"/>
    </xf>
    <xf numFmtId="2" fontId="5" fillId="5" borderId="6" xfId="0" applyNumberFormat="1" applyFont="1" applyFill="1" applyBorder="1" applyAlignment="1">
      <alignment horizontal="center" vertical="center" wrapText="1"/>
    </xf>
    <xf numFmtId="0" fontId="9" fillId="7" borderId="34" xfId="0" applyFont="1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43" fontId="15" fillId="2" borderId="28" xfId="1" applyFont="1" applyFill="1" applyBorder="1" applyAlignment="1">
      <alignment horizontal="center" vertical="center"/>
    </xf>
    <xf numFmtId="0" fontId="0" fillId="2" borderId="28" xfId="0" applyFill="1" applyBorder="1" applyAlignment="1"/>
    <xf numFmtId="0" fontId="3" fillId="0" borderId="47" xfId="0" applyFont="1" applyBorder="1" applyAlignment="1">
      <alignment vertical="center"/>
    </xf>
    <xf numFmtId="0" fontId="0" fillId="0" borderId="47" xfId="0" applyBorder="1" applyAlignment="1"/>
    <xf numFmtId="1" fontId="15" fillId="0" borderId="23" xfId="1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3" fontId="6" fillId="4" borderId="40" xfId="1" applyFont="1" applyFill="1" applyBorder="1" applyAlignment="1">
      <alignment horizontal="center"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7" borderId="35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4" fontId="0" fillId="7" borderId="27" xfId="0" applyNumberFormat="1" applyFill="1" applyBorder="1" applyAlignment="1">
      <alignment horizontal="center" vertical="center"/>
    </xf>
    <xf numFmtId="4" fontId="0" fillId="7" borderId="29" xfId="0" applyNumberFormat="1" applyFill="1" applyBorder="1" applyAlignment="1">
      <alignment horizontal="center" vertical="center"/>
    </xf>
    <xf numFmtId="4" fontId="0" fillId="2" borderId="37" xfId="0" applyNumberFormat="1" applyFill="1" applyBorder="1" applyAlignment="1">
      <alignment horizontal="center" vertical="center"/>
    </xf>
    <xf numFmtId="4" fontId="0" fillId="2" borderId="38" xfId="0" applyNumberFormat="1" applyFill="1" applyBorder="1" applyAlignment="1">
      <alignment horizontal="center" vertical="center"/>
    </xf>
    <xf numFmtId="4" fontId="0" fillId="2" borderId="39" xfId="0" applyNumberFormat="1" applyFill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7" borderId="37" xfId="0" applyFont="1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1" fontId="0" fillId="2" borderId="37" xfId="0" applyNumberFormat="1" applyFill="1" applyBorder="1" applyAlignment="1">
      <alignment horizontal="center" vertical="center"/>
    </xf>
    <xf numFmtId="1" fontId="0" fillId="2" borderId="38" xfId="0" applyNumberFormat="1" applyFill="1" applyBorder="1" applyAlignment="1">
      <alignment horizontal="center" vertical="center"/>
    </xf>
    <xf numFmtId="1" fontId="0" fillId="2" borderId="39" xfId="0" applyNumberForma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5" borderId="0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3" fontId="6" fillId="4" borderId="15" xfId="1" applyFont="1" applyFill="1" applyBorder="1" applyAlignment="1">
      <alignment horizontal="center" vertical="center" wrapText="1"/>
    </xf>
    <xf numFmtId="43" fontId="6" fillId="4" borderId="0" xfId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305EF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erqui/Anno%202022/SDAPA%20PULIZIE%20NUOVO/PULIZIE/2327_SDA_Libreria%20attivit&#22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PUL"/>
      <sheetName val="DIS"/>
      <sheetName val="SMA"/>
      <sheetName val="GIA"/>
      <sheetName val="POR"/>
      <sheetName val="FAC"/>
      <sheetName val="TER"/>
      <sheetName val="ELT"/>
      <sheetName val="ANT"/>
      <sheetName val="ELV"/>
    </sheetNames>
    <sheetDataSet>
      <sheetData sheetId="0"/>
      <sheetData sheetId="1">
        <row r="6">
          <cell r="AA6" t="str">
            <v>Pavimentazioni interne</v>
          </cell>
          <cell r="AB6" t="str">
            <v>Raccolta rifiuti</v>
          </cell>
        </row>
        <row r="7">
          <cell r="AA7" t="str">
            <v>Pavimentazioni esterne</v>
          </cell>
          <cell r="AB7" t="str">
            <v>Scopatura</v>
          </cell>
        </row>
        <row r="8">
          <cell r="AA8" t="str">
            <v>Arredi interni</v>
          </cell>
          <cell r="AB8" t="str">
            <v>Spolveratura e rimozione macchie</v>
          </cell>
        </row>
        <row r="9">
          <cell r="AA9" t="str">
            <v>Arredi esterni</v>
          </cell>
          <cell r="AB9" t="str">
            <v>Aspiratura/Battitura</v>
          </cell>
        </row>
        <row r="10">
          <cell r="AA10" t="str">
            <v>Postazioni</v>
          </cell>
          <cell r="AB10" t="str">
            <v>Detersione</v>
          </cell>
        </row>
        <row r="11">
          <cell r="AA11" t="str">
            <v>Attrezzature</v>
          </cell>
          <cell r="AB11" t="str">
            <v>Disinfezione</v>
          </cell>
        </row>
        <row r="12">
          <cell r="AA12" t="str">
            <v>Punti di contatto</v>
          </cell>
          <cell r="AB12" t="str">
            <v>Deragnatura</v>
          </cell>
        </row>
        <row r="13">
          <cell r="AA13" t="str">
            <v>Corpi illuminanti</v>
          </cell>
          <cell r="AB13" t="str">
            <v>Protezione/Manutenzione</v>
          </cell>
        </row>
        <row r="14">
          <cell r="AA14" t="str">
            <v>Contenitori rifiuti</v>
          </cell>
          <cell r="AB14" t="str">
            <v>Rifacimento e cambio biancheria</v>
          </cell>
        </row>
        <row r="15">
          <cell r="AA15" t="str">
            <v>Collegamenti verticali/inclinati</v>
          </cell>
          <cell r="AB15" t="str">
            <v>Interventi viabilità interna</v>
          </cell>
        </row>
        <row r="16">
          <cell r="AA16" t="str">
            <v>Partizioni verticali</v>
          </cell>
        </row>
        <row r="17">
          <cell r="AA17" t="str">
            <v>Partizioni orizzontali</v>
          </cell>
        </row>
        <row r="18">
          <cell r="AA18" t="str">
            <v>Infissi interni</v>
          </cell>
        </row>
        <row r="19">
          <cell r="AA19" t="str">
            <v>Infissi esterni</v>
          </cell>
        </row>
        <row r="20">
          <cell r="AA20" t="str">
            <v>Terminali idrico sanitari e apparecchiature bagno</v>
          </cell>
        </row>
        <row r="21">
          <cell r="AA21" t="str">
            <v>Terminali impiantistici</v>
          </cell>
        </row>
        <row r="22">
          <cell r="AA22" t="str">
            <v>Prodotti tessili</v>
          </cell>
        </row>
        <row r="23">
          <cell r="AA23" t="str">
            <v>Barriere antisporco</v>
          </cell>
        </row>
        <row r="24">
          <cell r="AA24" t="str">
            <v>Varchi/Accessi esterni e/o interni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showGridLines="0" zoomScale="90" zoomScaleNormal="90" workbookViewId="0">
      <pane ySplit="5" topLeftCell="A6" activePane="bottomLeft" state="frozen"/>
      <selection pane="bottomLeft" activeCell="B3" sqref="B3"/>
    </sheetView>
  </sheetViews>
  <sheetFormatPr defaultRowHeight="15" x14ac:dyDescent="0.25"/>
  <cols>
    <col min="1" max="1" width="3.5703125" customWidth="1"/>
    <col min="2" max="2" width="15.42578125" customWidth="1"/>
    <col min="3" max="3" width="25.5703125" customWidth="1"/>
    <col min="4" max="4" width="26" customWidth="1"/>
    <col min="5" max="5" width="12.140625" customWidth="1"/>
    <col min="6" max="6" width="10.140625" customWidth="1"/>
    <col min="7" max="7" width="10.85546875" customWidth="1"/>
    <col min="8" max="14" width="12.7109375" customWidth="1"/>
  </cols>
  <sheetData>
    <row r="1" spans="2:14" s="23" customFormat="1" x14ac:dyDescent="0.25"/>
    <row r="2" spans="2:14" ht="90.75" customHeight="1" x14ac:dyDescent="0.25">
      <c r="B2" s="116" t="s">
        <v>127</v>
      </c>
      <c r="C2" s="116"/>
      <c r="D2" s="116"/>
      <c r="E2" s="116"/>
      <c r="F2" s="116"/>
      <c r="G2" s="116"/>
      <c r="H2" s="24"/>
    </row>
    <row r="3" spans="2:14" ht="35.1" customHeight="1" x14ac:dyDescent="0.25">
      <c r="B3" s="27" t="s">
        <v>128</v>
      </c>
      <c r="C3" s="16"/>
    </row>
    <row r="4" spans="2:14" ht="21.95" customHeight="1" x14ac:dyDescent="0.25">
      <c r="B4" s="21" t="s">
        <v>58</v>
      </c>
      <c r="C4" s="21"/>
      <c r="D4" s="21"/>
      <c r="E4" s="21"/>
      <c r="F4" s="21"/>
      <c r="G4" s="21"/>
    </row>
    <row r="5" spans="2:14" ht="33.950000000000003" customHeight="1" x14ac:dyDescent="0.25">
      <c r="B5" s="17" t="s">
        <v>57</v>
      </c>
      <c r="C5" s="18" t="s">
        <v>22</v>
      </c>
      <c r="D5" s="17" t="s">
        <v>23</v>
      </c>
      <c r="E5" s="17" t="s">
        <v>24</v>
      </c>
      <c r="F5" s="17" t="s">
        <v>25</v>
      </c>
      <c r="G5" s="17" t="s">
        <v>26</v>
      </c>
    </row>
    <row r="6" spans="2:14" s="10" customFormat="1" ht="21.95" customHeight="1" x14ac:dyDescent="0.25">
      <c r="B6" s="7">
        <v>1</v>
      </c>
      <c r="C6" s="8" t="s">
        <v>67</v>
      </c>
      <c r="D6" s="8" t="s">
        <v>68</v>
      </c>
      <c r="E6" s="8" t="s">
        <v>69</v>
      </c>
      <c r="F6" s="8" t="s">
        <v>70</v>
      </c>
      <c r="G6" s="8" t="s">
        <v>71</v>
      </c>
      <c r="H6"/>
      <c r="I6"/>
      <c r="J6"/>
      <c r="K6"/>
      <c r="L6"/>
      <c r="M6"/>
      <c r="N6"/>
    </row>
    <row r="7" spans="2:14" s="10" customFormat="1" ht="21.95" customHeight="1" x14ac:dyDescent="0.25">
      <c r="B7" s="7">
        <v>2</v>
      </c>
      <c r="C7" s="8" t="s">
        <v>72</v>
      </c>
      <c r="D7" s="8" t="s">
        <v>73</v>
      </c>
      <c r="E7" s="8" t="s">
        <v>69</v>
      </c>
      <c r="F7" s="8" t="s">
        <v>70</v>
      </c>
      <c r="G7" s="8" t="s">
        <v>71</v>
      </c>
      <c r="H7"/>
      <c r="I7"/>
      <c r="J7"/>
      <c r="K7"/>
      <c r="L7"/>
      <c r="M7"/>
      <c r="N7"/>
    </row>
    <row r="8" spans="2:14" s="10" customFormat="1" ht="21.95" customHeight="1" x14ac:dyDescent="0.25">
      <c r="B8" s="7">
        <v>3</v>
      </c>
      <c r="C8" s="8" t="s">
        <v>77</v>
      </c>
      <c r="D8" s="8" t="s">
        <v>78</v>
      </c>
      <c r="E8" s="8" t="s">
        <v>69</v>
      </c>
      <c r="F8" s="8" t="s">
        <v>70</v>
      </c>
      <c r="G8" s="8" t="s">
        <v>71</v>
      </c>
      <c r="H8"/>
      <c r="I8"/>
      <c r="J8"/>
      <c r="K8"/>
      <c r="L8"/>
      <c r="M8"/>
      <c r="N8"/>
    </row>
    <row r="9" spans="2:14" s="10" customFormat="1" ht="21.95" customHeight="1" x14ac:dyDescent="0.25">
      <c r="B9" s="7">
        <v>4</v>
      </c>
      <c r="C9" s="8" t="s">
        <v>74</v>
      </c>
      <c r="D9" s="8" t="s">
        <v>79</v>
      </c>
      <c r="E9" s="8" t="s">
        <v>69</v>
      </c>
      <c r="F9" s="8" t="s">
        <v>70</v>
      </c>
      <c r="G9" s="8" t="s">
        <v>71</v>
      </c>
      <c r="H9"/>
      <c r="I9"/>
      <c r="J9"/>
      <c r="K9"/>
      <c r="L9"/>
      <c r="M9"/>
      <c r="N9"/>
    </row>
    <row r="10" spans="2:14" s="10" customFormat="1" ht="22.15" customHeight="1" x14ac:dyDescent="0.25">
      <c r="B10" s="7" t="s">
        <v>60</v>
      </c>
      <c r="C10" s="7">
        <v>4</v>
      </c>
      <c r="H10"/>
      <c r="I10"/>
      <c r="J10"/>
      <c r="K10"/>
      <c r="L10"/>
      <c r="M10"/>
      <c r="N10"/>
    </row>
    <row r="11" spans="2:14" ht="22.15" customHeight="1" x14ac:dyDescent="0.25"/>
    <row r="12" spans="2:14" ht="22.15" customHeight="1" x14ac:dyDescent="0.25"/>
    <row r="13" spans="2:14" ht="22.15" customHeight="1" x14ac:dyDescent="0.25"/>
    <row r="14" spans="2:14" ht="21.95" customHeight="1" x14ac:dyDescent="0.25"/>
  </sheetData>
  <mergeCells count="1">
    <mergeCell ref="B2:G2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6"/>
  <sheetViews>
    <sheetView showGridLines="0" zoomScale="90" zoomScaleNormal="90" workbookViewId="0">
      <pane xSplit="2" topLeftCell="C1" activePane="topRight" state="frozen"/>
      <selection pane="topRight" activeCell="F18" sqref="F18"/>
    </sheetView>
  </sheetViews>
  <sheetFormatPr defaultRowHeight="15" x14ac:dyDescent="0.25"/>
  <cols>
    <col min="1" max="1" width="8.85546875" customWidth="1"/>
    <col min="2" max="2" width="10.7109375" customWidth="1"/>
    <col min="3" max="3" width="12.7109375" customWidth="1"/>
    <col min="4" max="4" width="16.85546875" customWidth="1"/>
    <col min="5" max="5" width="12.7109375" customWidth="1"/>
    <col min="6" max="7" width="20.5703125" bestFit="1" customWidth="1"/>
    <col min="8" max="10" width="12.7109375" customWidth="1"/>
    <col min="11" max="11" width="14.5703125" customWidth="1"/>
    <col min="12" max="18" width="12.7109375" customWidth="1"/>
    <col min="19" max="19" width="12.5703125" bestFit="1" customWidth="1"/>
    <col min="20" max="20" width="2.42578125" customWidth="1"/>
    <col min="21" max="37" width="12.7109375" customWidth="1"/>
  </cols>
  <sheetData>
    <row r="2" spans="1:37" ht="45.75" customHeight="1" x14ac:dyDescent="0.25">
      <c r="A2" s="116" t="s">
        <v>129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37" ht="16.5" customHeight="1" x14ac:dyDescent="0.25">
      <c r="A3" s="27" t="s">
        <v>128</v>
      </c>
      <c r="B3" s="16"/>
    </row>
    <row r="4" spans="1:37" ht="21.95" customHeight="1" x14ac:dyDescent="0.25">
      <c r="A4" s="21" t="s">
        <v>56</v>
      </c>
      <c r="B4" s="22"/>
    </row>
    <row r="5" spans="1:37" ht="76.5" customHeight="1" x14ac:dyDescent="0.25">
      <c r="A5" s="122" t="s">
        <v>57</v>
      </c>
      <c r="B5" s="122" t="s">
        <v>27</v>
      </c>
      <c r="C5" s="4" t="s">
        <v>81</v>
      </c>
      <c r="D5" s="4" t="s">
        <v>82</v>
      </c>
      <c r="E5" s="4" t="s">
        <v>28</v>
      </c>
      <c r="F5" s="4" t="s">
        <v>83</v>
      </c>
      <c r="G5" s="4" t="s">
        <v>84</v>
      </c>
      <c r="H5" s="4" t="s">
        <v>29</v>
      </c>
      <c r="I5" s="4" t="s">
        <v>30</v>
      </c>
      <c r="J5" s="4" t="s">
        <v>31</v>
      </c>
      <c r="K5" s="4" t="s">
        <v>85</v>
      </c>
      <c r="L5" s="4" t="s">
        <v>32</v>
      </c>
      <c r="M5" s="4" t="s">
        <v>3</v>
      </c>
      <c r="N5" s="4" t="s">
        <v>7</v>
      </c>
      <c r="O5" s="4" t="s">
        <v>4</v>
      </c>
      <c r="P5" s="4" t="s">
        <v>33</v>
      </c>
      <c r="Q5" s="4" t="s">
        <v>86</v>
      </c>
      <c r="R5" s="4" t="s">
        <v>87</v>
      </c>
      <c r="S5" s="5" t="s">
        <v>34</v>
      </c>
    </row>
    <row r="6" spans="1:37" ht="19.899999999999999" customHeight="1" x14ac:dyDescent="0.25">
      <c r="A6" s="123"/>
      <c r="B6" s="123"/>
      <c r="C6" s="6" t="s">
        <v>21</v>
      </c>
      <c r="D6" s="6" t="s">
        <v>21</v>
      </c>
      <c r="E6" s="6" t="s">
        <v>21</v>
      </c>
      <c r="F6" s="6" t="s">
        <v>21</v>
      </c>
      <c r="G6" s="6" t="s">
        <v>21</v>
      </c>
      <c r="H6" s="6" t="s">
        <v>21</v>
      </c>
      <c r="I6" s="6" t="s">
        <v>21</v>
      </c>
      <c r="J6" s="6" t="s">
        <v>21</v>
      </c>
      <c r="K6" s="6" t="s">
        <v>21</v>
      </c>
      <c r="L6" s="6" t="s">
        <v>21</v>
      </c>
      <c r="M6" s="6" t="s">
        <v>21</v>
      </c>
      <c r="N6" s="6" t="s">
        <v>21</v>
      </c>
      <c r="O6" s="6" t="s">
        <v>21</v>
      </c>
      <c r="P6" s="6" t="s">
        <v>21</v>
      </c>
      <c r="Q6" s="6" t="s">
        <v>21</v>
      </c>
      <c r="R6" s="6" t="s">
        <v>21</v>
      </c>
      <c r="S6" s="6" t="s">
        <v>21</v>
      </c>
    </row>
    <row r="7" spans="1:37" s="10" customFormat="1" ht="21.95" customHeight="1" x14ac:dyDescent="0.25">
      <c r="A7" s="7">
        <v>1</v>
      </c>
      <c r="B7" s="15" t="s">
        <v>75</v>
      </c>
      <c r="C7" s="8">
        <f>722.6+17+1338+76+100+120+7.5+20</f>
        <v>2401.1</v>
      </c>
      <c r="D7" s="8">
        <f>237+112+18+7.5+20</f>
        <v>394.5</v>
      </c>
      <c r="E7" s="9">
        <f>241+618+288+64+185+202+36+66</f>
        <v>1700</v>
      </c>
      <c r="F7" s="9">
        <f>89+36</f>
        <v>125</v>
      </c>
      <c r="G7" s="9">
        <f>136+52</f>
        <v>188</v>
      </c>
      <c r="H7" s="9">
        <f>18+47+40+233</f>
        <v>338</v>
      </c>
      <c r="I7" s="9">
        <f>180+785+715+80</f>
        <v>1760</v>
      </c>
      <c r="J7" s="9">
        <f>172+95+148</f>
        <v>415</v>
      </c>
      <c r="K7" s="9">
        <f>733+334+74</f>
        <v>1141</v>
      </c>
      <c r="L7" s="9">
        <v>80</v>
      </c>
      <c r="M7" s="9">
        <v>36</v>
      </c>
      <c r="N7" s="9">
        <v>44</v>
      </c>
      <c r="O7" s="9">
        <v>126</v>
      </c>
      <c r="P7" s="9"/>
      <c r="Q7" s="9">
        <f>272.4+68+70+61</f>
        <v>471.4</v>
      </c>
      <c r="R7" s="9">
        <f>214+36+220+1850</f>
        <v>2320</v>
      </c>
      <c r="S7" s="5">
        <f>SUM(C7:R7)</f>
        <v>11540</v>
      </c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0" customFormat="1" ht="21.95" customHeight="1" x14ac:dyDescent="0.25">
      <c r="A8" s="7">
        <v>2</v>
      </c>
      <c r="B8" s="15" t="s">
        <v>75</v>
      </c>
      <c r="C8" s="8">
        <f>11+504</f>
        <v>515</v>
      </c>
      <c r="D8" s="8">
        <f>30+39</f>
        <v>69</v>
      </c>
      <c r="E8" s="9">
        <f>16+61+116+78+46+93</f>
        <v>410</v>
      </c>
      <c r="F8" s="9">
        <v>29</v>
      </c>
      <c r="G8" s="9"/>
      <c r="H8" s="9">
        <f>5+50</f>
        <v>55</v>
      </c>
      <c r="I8" s="9">
        <f>140+22+48</f>
        <v>210</v>
      </c>
      <c r="J8" s="9"/>
      <c r="K8" s="9">
        <v>42</v>
      </c>
      <c r="L8" s="30"/>
      <c r="M8" s="30"/>
      <c r="N8" s="9">
        <f>17+58</f>
        <v>75</v>
      </c>
      <c r="O8" s="9"/>
      <c r="P8" s="9"/>
      <c r="Q8" s="9"/>
      <c r="R8" s="9">
        <f>38+106+146</f>
        <v>290</v>
      </c>
      <c r="S8" s="5">
        <f>SUM(C8:R8)</f>
        <v>1695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0" customFormat="1" ht="21.95" customHeight="1" x14ac:dyDescent="0.25">
      <c r="A9" s="7">
        <v>3</v>
      </c>
      <c r="B9" s="15" t="s">
        <v>75</v>
      </c>
      <c r="C9" s="8">
        <f>252+3403.92+165.31</f>
        <v>3821.23</v>
      </c>
      <c r="D9" s="8"/>
      <c r="E9" s="9">
        <f>464.51+14+6+156.95+33.91+1452.89+7+94.25</f>
        <v>2229.5100000000002</v>
      </c>
      <c r="F9" s="9"/>
      <c r="G9" s="9"/>
      <c r="H9" s="9">
        <v>222.52</v>
      </c>
      <c r="I9" s="9">
        <f>1501.13+12.6+264+1105.31+381+22.2</f>
        <v>3286.24</v>
      </c>
      <c r="J9" s="9">
        <v>86</v>
      </c>
      <c r="K9" s="9"/>
      <c r="L9" s="9"/>
      <c r="M9" s="9"/>
      <c r="N9" s="9"/>
      <c r="O9" s="9"/>
      <c r="P9" s="9">
        <f>145+24</f>
        <v>169</v>
      </c>
      <c r="Q9" s="9"/>
      <c r="R9" s="9">
        <f>10+176+445+16</f>
        <v>647</v>
      </c>
      <c r="S9" s="5">
        <f>SUM(C9:R9)</f>
        <v>10461.5</v>
      </c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0" customFormat="1" ht="21.95" customHeight="1" x14ac:dyDescent="0.25">
      <c r="A10" s="7">
        <v>4</v>
      </c>
      <c r="B10" s="15" t="s">
        <v>75</v>
      </c>
      <c r="C10" s="8">
        <v>14</v>
      </c>
      <c r="D10" s="8"/>
      <c r="E10" s="9"/>
      <c r="F10" s="9"/>
      <c r="G10" s="9"/>
      <c r="H10" s="9">
        <v>14</v>
      </c>
      <c r="I10" s="9">
        <v>1510</v>
      </c>
      <c r="J10" s="9"/>
      <c r="K10" s="9"/>
      <c r="L10" s="9"/>
      <c r="M10" s="9"/>
      <c r="N10" s="9"/>
      <c r="O10" s="9"/>
      <c r="P10" s="9"/>
      <c r="Q10" s="9"/>
      <c r="R10" s="9">
        <v>195</v>
      </c>
      <c r="S10" s="5">
        <f>SUM(C10:R10)</f>
        <v>1733</v>
      </c>
      <c r="U10"/>
      <c r="V10" s="31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s="10" customFormat="1" ht="21" customHeight="1" x14ac:dyDescent="0.25">
      <c r="A11" s="118" t="s">
        <v>5</v>
      </c>
      <c r="B11" s="119"/>
      <c r="C11" s="11">
        <f>SUM(C7:C10)</f>
        <v>6751.33</v>
      </c>
      <c r="D11" s="11">
        <f t="shared" ref="D11:R11" si="0">SUM(D7:D10)</f>
        <v>463.5</v>
      </c>
      <c r="E11" s="11">
        <f t="shared" si="0"/>
        <v>4339.51</v>
      </c>
      <c r="F11" s="11">
        <f t="shared" si="0"/>
        <v>154</v>
      </c>
      <c r="G11" s="11">
        <f t="shared" si="0"/>
        <v>188</v>
      </c>
      <c r="H11" s="11">
        <f t="shared" si="0"/>
        <v>629.52</v>
      </c>
      <c r="I11" s="11">
        <f t="shared" si="0"/>
        <v>6766.24</v>
      </c>
      <c r="J11" s="11">
        <f t="shared" si="0"/>
        <v>501</v>
      </c>
      <c r="K11" s="11">
        <f t="shared" si="0"/>
        <v>1183</v>
      </c>
      <c r="L11" s="11">
        <f t="shared" si="0"/>
        <v>80</v>
      </c>
      <c r="M11" s="11">
        <f t="shared" si="0"/>
        <v>36</v>
      </c>
      <c r="N11" s="11">
        <f t="shared" si="0"/>
        <v>119</v>
      </c>
      <c r="O11" s="11">
        <f t="shared" si="0"/>
        <v>126</v>
      </c>
      <c r="P11" s="11">
        <f t="shared" si="0"/>
        <v>169</v>
      </c>
      <c r="Q11" s="11">
        <f t="shared" si="0"/>
        <v>471.4</v>
      </c>
      <c r="R11" s="11">
        <f t="shared" si="0"/>
        <v>3452</v>
      </c>
      <c r="S11" s="12">
        <f>SUM(S7:S10)</f>
        <v>25429.5</v>
      </c>
      <c r="U11"/>
      <c r="V11" s="31"/>
      <c r="W11" s="3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ht="22.15" customHeight="1" x14ac:dyDescent="0.25">
      <c r="A12" s="120" t="s">
        <v>35</v>
      </c>
      <c r="B12" s="121"/>
      <c r="C12" s="13">
        <f>+C11</f>
        <v>6751.33</v>
      </c>
      <c r="D12" s="13">
        <f t="shared" ref="D12:R12" si="1">+D11</f>
        <v>463.5</v>
      </c>
      <c r="E12" s="13">
        <f t="shared" si="1"/>
        <v>4339.51</v>
      </c>
      <c r="F12" s="13">
        <f t="shared" si="1"/>
        <v>154</v>
      </c>
      <c r="G12" s="13">
        <f t="shared" si="1"/>
        <v>188</v>
      </c>
      <c r="H12" s="13">
        <f t="shared" si="1"/>
        <v>629.52</v>
      </c>
      <c r="I12" s="13">
        <f t="shared" si="1"/>
        <v>6766.24</v>
      </c>
      <c r="J12" s="13">
        <f t="shared" si="1"/>
        <v>501</v>
      </c>
      <c r="K12" s="13">
        <f t="shared" si="1"/>
        <v>1183</v>
      </c>
      <c r="L12" s="13">
        <f t="shared" si="1"/>
        <v>80</v>
      </c>
      <c r="M12" s="13">
        <f t="shared" si="1"/>
        <v>36</v>
      </c>
      <c r="N12" s="13">
        <f t="shared" si="1"/>
        <v>119</v>
      </c>
      <c r="O12" s="13">
        <f t="shared" si="1"/>
        <v>126</v>
      </c>
      <c r="P12" s="13">
        <f t="shared" si="1"/>
        <v>169</v>
      </c>
      <c r="Q12" s="13">
        <f t="shared" si="1"/>
        <v>471.4</v>
      </c>
      <c r="R12" s="13">
        <f t="shared" si="1"/>
        <v>3452</v>
      </c>
      <c r="S12" s="14">
        <f>SUM(C12:R12)</f>
        <v>25429.5</v>
      </c>
    </row>
    <row r="13" spans="1:37" ht="22.15" customHeight="1" x14ac:dyDescent="0.25">
      <c r="A13" s="120" t="s">
        <v>36</v>
      </c>
      <c r="B13" s="121"/>
      <c r="C13" s="13">
        <f>+SUMIF($B$7:$B$10,"6 su 7",C7:C10)</f>
        <v>0</v>
      </c>
      <c r="D13" s="13"/>
      <c r="E13" s="13">
        <f>+SUMIF($B$7:$B$10,"6 su 7",E7:E10)</f>
        <v>0</v>
      </c>
      <c r="F13" s="13"/>
      <c r="G13" s="13"/>
      <c r="H13" s="13">
        <f>+SUMIF($B$7:$B$10,"6 su 7",H7:H10)</f>
        <v>0</v>
      </c>
      <c r="I13" s="13">
        <f>+SUMIF($B$7:$B$10,"6 su 7",I7:I10)</f>
        <v>0</v>
      </c>
      <c r="J13" s="13">
        <f>+SUMIF($B$7:$B$10,"6 su 7",J7:J10)</f>
        <v>0</v>
      </c>
      <c r="K13" s="13"/>
      <c r="L13" s="13">
        <f t="shared" ref="L13:R13" si="2">+SUMIF($B$7:$B$10,"6 su 7",L7:L10)</f>
        <v>0</v>
      </c>
      <c r="M13" s="13">
        <f t="shared" si="2"/>
        <v>0</v>
      </c>
      <c r="N13" s="13">
        <f t="shared" si="2"/>
        <v>0</v>
      </c>
      <c r="O13" s="13">
        <f t="shared" si="2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4">
        <f>SUM(C13:R13)</f>
        <v>0</v>
      </c>
    </row>
    <row r="14" spans="1:37" ht="22.15" customHeight="1" x14ac:dyDescent="0.25">
      <c r="A14" s="120" t="s">
        <v>38</v>
      </c>
      <c r="B14" s="121"/>
      <c r="C14" s="8">
        <f>+SUMIF($B$7:$B$10,"7 su 7",C7:C10)</f>
        <v>0</v>
      </c>
      <c r="D14" s="8"/>
      <c r="E14" s="8">
        <f>+SUMIF($B$7:$B$10,"7 su 7",E7:E10)</f>
        <v>0</v>
      </c>
      <c r="F14" s="8"/>
      <c r="G14" s="8"/>
      <c r="H14" s="8">
        <f>+SUMIF($B$7:$B$10,"7 su 7",H7:H10)</f>
        <v>0</v>
      </c>
      <c r="I14" s="8">
        <f>+SUMIF($B$7:$B$10,"7 su 7",I7:I10)</f>
        <v>0</v>
      </c>
      <c r="J14" s="8">
        <f>+SUMIF($B$7:$B$10,"7 su 7",J7:J10)</f>
        <v>0</v>
      </c>
      <c r="K14" s="8"/>
      <c r="L14" s="8">
        <f t="shared" ref="L14:R14" si="3">+SUMIF($B$7:$B$10,"7 su 7",L7:L10)</f>
        <v>0</v>
      </c>
      <c r="M14" s="8">
        <f t="shared" si="3"/>
        <v>0</v>
      </c>
      <c r="N14" s="8">
        <f t="shared" si="3"/>
        <v>0</v>
      </c>
      <c r="O14" s="8">
        <f t="shared" si="3"/>
        <v>0</v>
      </c>
      <c r="P14" s="8">
        <f t="shared" si="3"/>
        <v>0</v>
      </c>
      <c r="Q14" s="8">
        <f t="shared" si="3"/>
        <v>0</v>
      </c>
      <c r="R14" s="8">
        <f t="shared" si="3"/>
        <v>0</v>
      </c>
      <c r="S14" s="14">
        <f>SUM(C14:R14)</f>
        <v>0</v>
      </c>
    </row>
    <row r="15" spans="1:37" ht="21.95" customHeight="1" x14ac:dyDescent="0.25">
      <c r="S15" s="33">
        <f>+S12+S13</f>
        <v>25429.5</v>
      </c>
    </row>
    <row r="16" spans="1:37" x14ac:dyDescent="0.25">
      <c r="H16" s="31"/>
    </row>
  </sheetData>
  <mergeCells count="7">
    <mergeCell ref="A2:S2"/>
    <mergeCell ref="A11:B11"/>
    <mergeCell ref="A12:B12"/>
    <mergeCell ref="A13:B13"/>
    <mergeCell ref="A14:B14"/>
    <mergeCell ref="A5:A6"/>
    <mergeCell ref="B5:B6"/>
  </mergeCells>
  <dataValidations count="1">
    <dataValidation type="list" allowBlank="1" showInputMessage="1" showErrorMessage="1" sqref="B7:B10">
      <formula1>"5 su 7,6 su 7, 7 su 7"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4"/>
  <sheetViews>
    <sheetView showGridLines="0" zoomScale="90" zoomScaleNormal="90" workbookViewId="0">
      <pane ySplit="5" topLeftCell="A21" activePane="bottomLeft" state="frozen"/>
      <selection pane="bottomLeft" activeCell="J45" sqref="J45"/>
    </sheetView>
  </sheetViews>
  <sheetFormatPr defaultRowHeight="15" x14ac:dyDescent="0.25"/>
  <cols>
    <col min="1" max="1" width="3.5703125" customWidth="1"/>
    <col min="2" max="2" width="14.85546875" customWidth="1"/>
    <col min="3" max="4" width="10.7109375" customWidth="1"/>
    <col min="5" max="5" width="26.85546875" customWidth="1"/>
    <col min="6" max="8" width="17.7109375" customWidth="1"/>
    <col min="9" max="9" width="16" customWidth="1"/>
    <col min="10" max="15" width="12.7109375" customWidth="1"/>
    <col min="16" max="16" width="12.5703125" bestFit="1" customWidth="1"/>
    <col min="17" max="17" width="9.140625" customWidth="1"/>
    <col min="18" max="18" width="13.28515625" bestFit="1" customWidth="1"/>
    <col min="34" max="34" width="13.85546875" bestFit="1" customWidth="1"/>
    <col min="36" max="36" width="13.85546875" bestFit="1" customWidth="1"/>
    <col min="37" max="37" width="10" bestFit="1" customWidth="1"/>
  </cols>
  <sheetData>
    <row r="2" spans="2:22" ht="63.75" customHeight="1" x14ac:dyDescent="0.25">
      <c r="B2" s="116" t="s">
        <v>126</v>
      </c>
      <c r="C2" s="116"/>
      <c r="D2" s="116"/>
      <c r="E2" s="117"/>
      <c r="F2" s="117"/>
      <c r="G2" s="117"/>
      <c r="H2" s="117"/>
      <c r="I2" s="117"/>
      <c r="J2" s="117"/>
      <c r="K2" s="117"/>
      <c r="L2" s="117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2:22" ht="35.1" customHeight="1" x14ac:dyDescent="0.25">
      <c r="B3" s="27" t="s">
        <v>130</v>
      </c>
      <c r="C3" s="27"/>
      <c r="D3" s="27"/>
    </row>
    <row r="4" spans="2:22" ht="21.95" customHeight="1" thickBot="1" x14ac:dyDescent="0.3">
      <c r="B4" s="147" t="s">
        <v>125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2:22" ht="37.9" customHeight="1" thickBot="1" x14ac:dyDescent="0.3">
      <c r="B5" s="4" t="s">
        <v>59</v>
      </c>
      <c r="C5" s="4" t="s">
        <v>54</v>
      </c>
      <c r="D5" s="4" t="s">
        <v>89</v>
      </c>
      <c r="E5" s="51" t="s">
        <v>52</v>
      </c>
      <c r="F5" s="4" t="s">
        <v>6</v>
      </c>
      <c r="G5" s="51" t="s">
        <v>53</v>
      </c>
      <c r="H5" s="52" t="s">
        <v>90</v>
      </c>
      <c r="I5" s="52" t="s">
        <v>108</v>
      </c>
      <c r="J5" s="52" t="s">
        <v>107</v>
      </c>
      <c r="K5" s="52" t="s">
        <v>112</v>
      </c>
      <c r="L5" s="52" t="s">
        <v>113</v>
      </c>
    </row>
    <row r="6" spans="2:22" ht="21.95" customHeight="1" x14ac:dyDescent="0.25">
      <c r="B6" s="148" t="s">
        <v>106</v>
      </c>
      <c r="C6" s="60">
        <v>1</v>
      </c>
      <c r="D6" s="46">
        <v>3</v>
      </c>
      <c r="E6" s="47" t="s">
        <v>92</v>
      </c>
      <c r="F6" s="48">
        <v>5</v>
      </c>
      <c r="G6" s="45">
        <v>8</v>
      </c>
      <c r="H6" s="79">
        <v>40</v>
      </c>
      <c r="I6" s="156">
        <f>+C6+C7+C8+C9+C12+C15+C17</f>
        <v>9</v>
      </c>
      <c r="J6" s="144">
        <f>+H6+H7+H8+H9+H12+H15+H17</f>
        <v>264</v>
      </c>
      <c r="K6" s="144">
        <f>+J6*52</f>
        <v>13728</v>
      </c>
      <c r="L6" s="144">
        <f>+K6*2</f>
        <v>27456</v>
      </c>
      <c r="N6" s="31"/>
      <c r="O6" s="31"/>
    </row>
    <row r="7" spans="2:22" ht="21.95" customHeight="1" x14ac:dyDescent="0.25">
      <c r="B7" s="149"/>
      <c r="C7" s="61">
        <v>1</v>
      </c>
      <c r="D7" s="40">
        <v>4</v>
      </c>
      <c r="E7" s="42" t="str">
        <f>+E6</f>
        <v>6-14</v>
      </c>
      <c r="F7" s="41">
        <v>5</v>
      </c>
      <c r="G7" s="45">
        <v>8</v>
      </c>
      <c r="H7" s="80">
        <v>40</v>
      </c>
      <c r="I7" s="157"/>
      <c r="J7" s="145"/>
      <c r="K7" s="145"/>
      <c r="L7" s="145"/>
    </row>
    <row r="8" spans="2:22" ht="21.95" customHeight="1" x14ac:dyDescent="0.25">
      <c r="B8" s="149"/>
      <c r="C8" s="94">
        <v>3</v>
      </c>
      <c r="D8" s="95">
        <v>2</v>
      </c>
      <c r="E8" s="42" t="s">
        <v>93</v>
      </c>
      <c r="F8" s="93">
        <v>5</v>
      </c>
      <c r="G8" s="45">
        <v>5</v>
      </c>
      <c r="H8" s="92">
        <f>+F8*G8*C8</f>
        <v>75</v>
      </c>
      <c r="I8" s="157"/>
      <c r="J8" s="145"/>
      <c r="K8" s="145"/>
      <c r="L8" s="145"/>
    </row>
    <row r="9" spans="2:22" x14ac:dyDescent="0.25">
      <c r="B9" s="149"/>
      <c r="C9" s="124">
        <v>1</v>
      </c>
      <c r="D9" s="126">
        <v>2</v>
      </c>
      <c r="E9" s="43" t="s">
        <v>95</v>
      </c>
      <c r="F9" s="93">
        <v>1</v>
      </c>
      <c r="G9" s="45">
        <v>4</v>
      </c>
      <c r="H9" s="139">
        <f>+(F9*G9)+(F10*G10)+(F11*G11)</f>
        <v>25</v>
      </c>
      <c r="I9" s="157"/>
      <c r="J9" s="145"/>
      <c r="K9" s="145"/>
      <c r="L9" s="145"/>
    </row>
    <row r="10" spans="2:22" ht="21.95" customHeight="1" x14ac:dyDescent="0.25">
      <c r="B10" s="149"/>
      <c r="C10" s="125"/>
      <c r="D10" s="127"/>
      <c r="E10" s="42" t="s">
        <v>94</v>
      </c>
      <c r="F10" s="93">
        <v>3</v>
      </c>
      <c r="G10" s="45">
        <v>5</v>
      </c>
      <c r="H10" s="139"/>
      <c r="I10" s="157"/>
      <c r="J10" s="145"/>
      <c r="K10" s="145"/>
      <c r="L10" s="145"/>
    </row>
    <row r="11" spans="2:22" ht="21.95" customHeight="1" x14ac:dyDescent="0.25">
      <c r="B11" s="149"/>
      <c r="C11" s="125"/>
      <c r="D11" s="127"/>
      <c r="E11" s="42" t="s">
        <v>96</v>
      </c>
      <c r="F11" s="93">
        <v>1</v>
      </c>
      <c r="G11" s="45">
        <v>6</v>
      </c>
      <c r="H11" s="139"/>
      <c r="I11" s="157"/>
      <c r="J11" s="145"/>
      <c r="K11" s="145"/>
      <c r="L11" s="145"/>
    </row>
    <row r="12" spans="2:22" ht="21.95" customHeight="1" x14ac:dyDescent="0.25">
      <c r="B12" s="149"/>
      <c r="C12" s="124">
        <v>1</v>
      </c>
      <c r="D12" s="126">
        <v>3</v>
      </c>
      <c r="E12" s="43" t="s">
        <v>102</v>
      </c>
      <c r="F12" s="44">
        <v>1</v>
      </c>
      <c r="G12" s="45">
        <v>4</v>
      </c>
      <c r="H12" s="139">
        <f>+(F12*G12)+(F13*G13)+(F14*G14)</f>
        <v>26</v>
      </c>
      <c r="I12" s="157"/>
      <c r="J12" s="145"/>
      <c r="K12" s="145"/>
      <c r="L12" s="145"/>
    </row>
    <row r="13" spans="2:22" ht="21.95" customHeight="1" x14ac:dyDescent="0.25">
      <c r="B13" s="149"/>
      <c r="C13" s="125"/>
      <c r="D13" s="127"/>
      <c r="E13" s="42" t="s">
        <v>100</v>
      </c>
      <c r="F13" s="44">
        <v>2</v>
      </c>
      <c r="G13" s="45">
        <v>5</v>
      </c>
      <c r="H13" s="139"/>
      <c r="I13" s="157"/>
      <c r="J13" s="145"/>
      <c r="K13" s="145"/>
      <c r="L13" s="145"/>
    </row>
    <row r="14" spans="2:22" ht="21.95" customHeight="1" x14ac:dyDescent="0.25">
      <c r="B14" s="149"/>
      <c r="C14" s="125"/>
      <c r="D14" s="127"/>
      <c r="E14" s="42" t="s">
        <v>101</v>
      </c>
      <c r="F14" s="44">
        <v>2</v>
      </c>
      <c r="G14" s="45">
        <v>6</v>
      </c>
      <c r="H14" s="139"/>
      <c r="I14" s="157"/>
      <c r="J14" s="145"/>
      <c r="K14" s="145"/>
      <c r="L14" s="145"/>
    </row>
    <row r="15" spans="2:22" ht="21.95" customHeight="1" x14ac:dyDescent="0.25">
      <c r="B15" s="149"/>
      <c r="C15" s="125">
        <v>1</v>
      </c>
      <c r="D15" s="127">
        <v>3</v>
      </c>
      <c r="E15" s="42" t="s">
        <v>97</v>
      </c>
      <c r="F15" s="44">
        <v>4</v>
      </c>
      <c r="G15" s="45">
        <v>5</v>
      </c>
      <c r="H15" s="139">
        <f>+(F15*G15)+(F16*G16)</f>
        <v>26</v>
      </c>
      <c r="I15" s="157"/>
      <c r="J15" s="145"/>
      <c r="K15" s="145"/>
      <c r="L15" s="145"/>
    </row>
    <row r="16" spans="2:22" ht="21.95" customHeight="1" x14ac:dyDescent="0.25">
      <c r="B16" s="149"/>
      <c r="C16" s="125"/>
      <c r="D16" s="127"/>
      <c r="E16" s="42" t="s">
        <v>96</v>
      </c>
      <c r="F16" s="44">
        <v>1</v>
      </c>
      <c r="G16" s="45">
        <v>6</v>
      </c>
      <c r="H16" s="139"/>
      <c r="I16" s="157"/>
      <c r="J16" s="145"/>
      <c r="K16" s="145"/>
      <c r="L16" s="145"/>
    </row>
    <row r="17" spans="2:12" ht="21.95" customHeight="1" x14ac:dyDescent="0.25">
      <c r="B17" s="149"/>
      <c r="C17" s="125">
        <v>1</v>
      </c>
      <c r="D17" s="127">
        <v>2</v>
      </c>
      <c r="E17" s="42" t="s">
        <v>98</v>
      </c>
      <c r="F17" s="44">
        <v>4</v>
      </c>
      <c r="G17" s="45">
        <v>6</v>
      </c>
      <c r="H17" s="139">
        <f>+(F17*G17)+(F18*G18)</f>
        <v>32</v>
      </c>
      <c r="I17" s="157"/>
      <c r="J17" s="145"/>
      <c r="K17" s="145"/>
      <c r="L17" s="145"/>
    </row>
    <row r="18" spans="2:12" ht="21.95" customHeight="1" thickBot="1" x14ac:dyDescent="0.3">
      <c r="B18" s="150"/>
      <c r="C18" s="137"/>
      <c r="D18" s="138"/>
      <c r="E18" s="49" t="s">
        <v>99</v>
      </c>
      <c r="F18" s="50">
        <v>1</v>
      </c>
      <c r="G18" s="45">
        <v>8</v>
      </c>
      <c r="H18" s="140"/>
      <c r="I18" s="158"/>
      <c r="J18" s="146"/>
      <c r="K18" s="146"/>
      <c r="L18" s="146"/>
    </row>
    <row r="19" spans="2:12" ht="21.95" customHeight="1" x14ac:dyDescent="0.25">
      <c r="B19" s="151" t="s">
        <v>110</v>
      </c>
      <c r="C19" s="62">
        <v>1</v>
      </c>
      <c r="D19" s="53">
        <v>3</v>
      </c>
      <c r="E19" s="67" t="s">
        <v>92</v>
      </c>
      <c r="F19" s="68">
        <v>5</v>
      </c>
      <c r="G19" s="69">
        <v>8</v>
      </c>
      <c r="H19" s="70">
        <f>+F19*G19</f>
        <v>40</v>
      </c>
      <c r="I19" s="159">
        <f>+C19+C20+C21+C22</f>
        <v>5</v>
      </c>
      <c r="J19" s="141">
        <f>+H19+H20+H21+H22</f>
        <v>125</v>
      </c>
      <c r="K19" s="141">
        <f>+J19*52</f>
        <v>6500</v>
      </c>
      <c r="L19" s="141">
        <f>+K19*2</f>
        <v>13000</v>
      </c>
    </row>
    <row r="20" spans="2:12" ht="21.95" customHeight="1" x14ac:dyDescent="0.25">
      <c r="B20" s="152"/>
      <c r="C20" s="63">
        <v>1</v>
      </c>
      <c r="D20" s="39">
        <v>3</v>
      </c>
      <c r="E20" s="71" t="s">
        <v>103</v>
      </c>
      <c r="F20" s="72">
        <v>5</v>
      </c>
      <c r="G20" s="73">
        <v>7</v>
      </c>
      <c r="H20" s="74">
        <f>+F20*G20</f>
        <v>35</v>
      </c>
      <c r="I20" s="160"/>
      <c r="J20" s="154"/>
      <c r="K20" s="142"/>
      <c r="L20" s="142"/>
    </row>
    <row r="21" spans="2:12" ht="21.95" customHeight="1" x14ac:dyDescent="0.25">
      <c r="B21" s="152"/>
      <c r="C21" s="63">
        <v>1</v>
      </c>
      <c r="D21" s="39">
        <v>2</v>
      </c>
      <c r="E21" s="71" t="s">
        <v>104</v>
      </c>
      <c r="F21" s="72">
        <v>5</v>
      </c>
      <c r="G21" s="73">
        <v>3</v>
      </c>
      <c r="H21" s="74">
        <f>+F21*G21</f>
        <v>15</v>
      </c>
      <c r="I21" s="160"/>
      <c r="J21" s="154"/>
      <c r="K21" s="142"/>
      <c r="L21" s="142"/>
    </row>
    <row r="22" spans="2:12" ht="21.95" customHeight="1" thickBot="1" x14ac:dyDescent="0.3">
      <c r="B22" s="153"/>
      <c r="C22" s="64">
        <v>2</v>
      </c>
      <c r="D22" s="54">
        <v>2</v>
      </c>
      <c r="E22" s="75" t="s">
        <v>105</v>
      </c>
      <c r="F22" s="76">
        <v>5</v>
      </c>
      <c r="G22" s="77">
        <v>3.5</v>
      </c>
      <c r="H22" s="78">
        <f>+F22*G22*C22</f>
        <v>35</v>
      </c>
      <c r="I22" s="161"/>
      <c r="J22" s="155"/>
      <c r="K22" s="143"/>
      <c r="L22" s="143"/>
    </row>
    <row r="23" spans="2:12" ht="21.95" customHeight="1" thickBot="1" x14ac:dyDescent="0.3">
      <c r="B23" s="66">
        <v>4</v>
      </c>
      <c r="C23" s="65" t="s">
        <v>111</v>
      </c>
      <c r="D23" s="55">
        <v>2</v>
      </c>
      <c r="E23" s="56" t="s">
        <v>95</v>
      </c>
      <c r="F23" s="57">
        <v>1</v>
      </c>
      <c r="G23" s="58">
        <v>4</v>
      </c>
      <c r="H23" s="59">
        <f>+F23*G23</f>
        <v>4</v>
      </c>
      <c r="I23" s="82" t="str">
        <f>+C23</f>
        <v>1**</v>
      </c>
      <c r="J23" s="81">
        <f>+H23</f>
        <v>4</v>
      </c>
      <c r="K23" s="81">
        <f>+J23*52</f>
        <v>208</v>
      </c>
      <c r="L23" s="81">
        <f>+K23*2</f>
        <v>416</v>
      </c>
    </row>
    <row r="24" spans="2:12" x14ac:dyDescent="0.25">
      <c r="B24" s="134" t="s">
        <v>5</v>
      </c>
      <c r="C24" s="135"/>
      <c r="D24" s="135"/>
      <c r="E24" s="135"/>
      <c r="F24" s="135"/>
      <c r="G24" s="135"/>
      <c r="H24" s="136"/>
      <c r="I24" s="84">
        <v>15</v>
      </c>
      <c r="J24" s="83">
        <f>+J6+J19+J23</f>
        <v>393</v>
      </c>
      <c r="K24" s="97">
        <f>+K6+K19+K23</f>
        <v>20436</v>
      </c>
      <c r="L24" s="97">
        <f>+L6+L19+L23</f>
        <v>40872</v>
      </c>
    </row>
    <row r="25" spans="2:12" x14ac:dyDescent="0.25">
      <c r="J25" s="96"/>
    </row>
    <row r="26" spans="2:12" x14ac:dyDescent="0.25">
      <c r="B26" t="s">
        <v>120</v>
      </c>
    </row>
    <row r="28" spans="2:12" x14ac:dyDescent="0.25">
      <c r="B28" t="s">
        <v>121</v>
      </c>
    </row>
    <row r="32" spans="2:12" ht="15.75" thickBot="1" x14ac:dyDescent="0.3">
      <c r="B32" s="130" t="s">
        <v>119</v>
      </c>
      <c r="C32" s="131"/>
      <c r="D32" s="131"/>
      <c r="E32" s="131"/>
      <c r="F32" s="131"/>
      <c r="G32" s="131"/>
      <c r="H32" s="131"/>
      <c r="I32" s="131"/>
      <c r="J32" s="131"/>
    </row>
    <row r="33" spans="2:10" ht="34.5" thickBot="1" x14ac:dyDescent="0.3">
      <c r="B33" s="85" t="s">
        <v>59</v>
      </c>
      <c r="C33" s="86" t="s">
        <v>54</v>
      </c>
      <c r="D33" s="86" t="s">
        <v>89</v>
      </c>
      <c r="E33" s="86" t="s">
        <v>52</v>
      </c>
      <c r="F33" s="86" t="s">
        <v>6</v>
      </c>
      <c r="G33" s="86" t="s">
        <v>109</v>
      </c>
      <c r="H33" s="87" t="s">
        <v>90</v>
      </c>
      <c r="I33" s="87" t="s">
        <v>114</v>
      </c>
      <c r="J33" s="87" t="s">
        <v>115</v>
      </c>
    </row>
    <row r="34" spans="2:10" ht="15.75" thickBot="1" x14ac:dyDescent="0.3">
      <c r="B34" s="88" t="s">
        <v>91</v>
      </c>
      <c r="C34" s="89" t="s">
        <v>117</v>
      </c>
      <c r="D34" s="89">
        <v>2</v>
      </c>
      <c r="E34" s="90" t="s">
        <v>76</v>
      </c>
      <c r="F34" s="89">
        <v>5</v>
      </c>
      <c r="G34" s="90">
        <v>4</v>
      </c>
      <c r="H34" s="91">
        <f>+F34*G34</f>
        <v>20</v>
      </c>
      <c r="I34" s="91">
        <f>+H34*52</f>
        <v>1040</v>
      </c>
      <c r="J34" s="91">
        <f>+I34*2</f>
        <v>2080</v>
      </c>
    </row>
    <row r="35" spans="2:10" ht="15.75" thickBot="1" x14ac:dyDescent="0.3">
      <c r="B35" s="98">
        <v>3</v>
      </c>
      <c r="C35" s="99">
        <v>1</v>
      </c>
      <c r="D35" s="99">
        <v>4</v>
      </c>
      <c r="E35" s="100" t="s">
        <v>80</v>
      </c>
      <c r="F35" s="99">
        <v>5</v>
      </c>
      <c r="G35" s="100">
        <v>4</v>
      </c>
      <c r="H35" s="101">
        <f>+F35*G35</f>
        <v>20</v>
      </c>
      <c r="I35" s="101">
        <f>+H35*52</f>
        <v>1040</v>
      </c>
      <c r="J35" s="101">
        <f>+I35*2</f>
        <v>2080</v>
      </c>
    </row>
    <row r="36" spans="2:10" ht="15.75" thickBot="1" x14ac:dyDescent="0.3">
      <c r="B36" s="102"/>
      <c r="C36" s="103" t="s">
        <v>116</v>
      </c>
      <c r="D36" s="102"/>
      <c r="E36" s="102"/>
      <c r="F36" s="102"/>
      <c r="G36" s="90">
        <v>8</v>
      </c>
      <c r="H36" s="90">
        <f>+H34+H35</f>
        <v>40</v>
      </c>
      <c r="I36" s="90">
        <f>+I34+I35</f>
        <v>2080</v>
      </c>
      <c r="J36" s="90">
        <f>+J34+J35</f>
        <v>4160</v>
      </c>
    </row>
    <row r="38" spans="2:10" x14ac:dyDescent="0.25">
      <c r="B38" t="s">
        <v>124</v>
      </c>
      <c r="G38" s="38"/>
    </row>
    <row r="40" spans="2:10" ht="15.75" thickBot="1" x14ac:dyDescent="0.3">
      <c r="B40" s="104" t="s">
        <v>118</v>
      </c>
    </row>
    <row r="41" spans="2:10" ht="33.75" x14ac:dyDescent="0.25">
      <c r="B41" s="85" t="s">
        <v>59</v>
      </c>
      <c r="C41" s="86" t="s">
        <v>54</v>
      </c>
      <c r="D41" s="86" t="s">
        <v>89</v>
      </c>
      <c r="E41" s="86" t="s">
        <v>52</v>
      </c>
      <c r="F41" s="86" t="s">
        <v>6</v>
      </c>
      <c r="G41" s="86" t="s">
        <v>109</v>
      </c>
      <c r="H41" s="87" t="s">
        <v>90</v>
      </c>
      <c r="I41" s="87" t="s">
        <v>114</v>
      </c>
      <c r="J41" s="87" t="s">
        <v>115</v>
      </c>
    </row>
    <row r="42" spans="2:10" x14ac:dyDescent="0.25">
      <c r="B42" s="108" t="s">
        <v>122</v>
      </c>
      <c r="C42" s="105">
        <v>10</v>
      </c>
      <c r="D42" s="132" t="s">
        <v>123</v>
      </c>
      <c r="E42" s="133"/>
      <c r="F42" s="133"/>
      <c r="G42" s="133"/>
      <c r="H42" s="106">
        <v>288</v>
      </c>
      <c r="I42" s="106">
        <f>+H42*52</f>
        <v>14976</v>
      </c>
      <c r="J42" s="109">
        <f>+I42*2</f>
        <v>29952</v>
      </c>
    </row>
    <row r="43" spans="2:10" x14ac:dyDescent="0.25">
      <c r="B43" s="110">
        <v>3</v>
      </c>
      <c r="C43" s="72">
        <v>6</v>
      </c>
      <c r="D43" s="132" t="s">
        <v>123</v>
      </c>
      <c r="E43" s="133"/>
      <c r="F43" s="133"/>
      <c r="G43" s="133"/>
      <c r="H43" s="107">
        <f>+H19+H20+H21+H22+H35</f>
        <v>145</v>
      </c>
      <c r="I43" s="107">
        <f>+H43*52</f>
        <v>7540</v>
      </c>
      <c r="J43" s="111">
        <f>+I43*2</f>
        <v>15080</v>
      </c>
    </row>
    <row r="44" spans="2:10" ht="15.75" thickBot="1" x14ac:dyDescent="0.3">
      <c r="B44" s="112"/>
      <c r="C44" s="113">
        <f>+C42+C43</f>
        <v>16</v>
      </c>
      <c r="D44" s="128"/>
      <c r="E44" s="129"/>
      <c r="F44" s="129"/>
      <c r="G44" s="129"/>
      <c r="H44" s="114">
        <f>+H42+H43</f>
        <v>433</v>
      </c>
      <c r="I44" s="114">
        <f>+I42+I43</f>
        <v>22516</v>
      </c>
      <c r="J44" s="115">
        <f>+J42+J43</f>
        <v>45032</v>
      </c>
    </row>
  </sheetData>
  <sheetProtection formatCells="0" formatColumns="0" formatRows="0" insertColumns="0" insertRows="0" insertHyperlinks="0" deleteColumns="0" deleteRows="0"/>
  <mergeCells count="29">
    <mergeCell ref="K19:K22"/>
    <mergeCell ref="L6:L18"/>
    <mergeCell ref="L19:L22"/>
    <mergeCell ref="B2:L2"/>
    <mergeCell ref="B4:L4"/>
    <mergeCell ref="H9:H11"/>
    <mergeCell ref="H15:H16"/>
    <mergeCell ref="C15:C16"/>
    <mergeCell ref="D15:D16"/>
    <mergeCell ref="K6:K18"/>
    <mergeCell ref="B6:B18"/>
    <mergeCell ref="B19:B22"/>
    <mergeCell ref="J6:J18"/>
    <mergeCell ref="J19:J22"/>
    <mergeCell ref="I6:I18"/>
    <mergeCell ref="I19:I22"/>
    <mergeCell ref="C9:C11"/>
    <mergeCell ref="D9:D11"/>
    <mergeCell ref="D44:G44"/>
    <mergeCell ref="B32:J32"/>
    <mergeCell ref="D42:G42"/>
    <mergeCell ref="D43:G43"/>
    <mergeCell ref="B24:H24"/>
    <mergeCell ref="C17:C18"/>
    <mergeCell ref="D17:D18"/>
    <mergeCell ref="H17:H18"/>
    <mergeCell ref="C12:C14"/>
    <mergeCell ref="D12:D14"/>
    <mergeCell ref="H12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8"/>
  <sheetViews>
    <sheetView showGridLines="0" zoomScale="90" zoomScaleNormal="90" workbookViewId="0">
      <pane ySplit="7" topLeftCell="A8" activePane="bottomLeft" state="frozen"/>
      <selection pane="bottomLeft" activeCell="J17" sqref="J17"/>
    </sheetView>
  </sheetViews>
  <sheetFormatPr defaultRowHeight="15" x14ac:dyDescent="0.25"/>
  <cols>
    <col min="1" max="1" width="3.5703125" customWidth="1"/>
    <col min="2" max="2" width="10.7109375" customWidth="1"/>
    <col min="3" max="3" width="12.85546875" customWidth="1"/>
    <col min="4" max="4" width="15.85546875" customWidth="1"/>
    <col min="5" max="5" width="10.5703125" customWidth="1"/>
    <col min="6" max="6" width="11.85546875" customWidth="1"/>
    <col min="7" max="7" width="11.42578125" customWidth="1"/>
    <col min="8" max="8" width="13.42578125" customWidth="1"/>
    <col min="9" max="10" width="11.7109375" customWidth="1"/>
    <col min="11" max="11" width="11.28515625" customWidth="1"/>
    <col min="12" max="12" width="10.7109375" customWidth="1"/>
    <col min="13" max="13" width="11" customWidth="1"/>
    <col min="14" max="14" width="10.42578125" customWidth="1"/>
    <col min="15" max="15" width="15.85546875" customWidth="1"/>
    <col min="16" max="24" width="12.7109375" customWidth="1"/>
    <col min="25" max="25" width="12.5703125" bestFit="1" customWidth="1"/>
    <col min="26" max="26" width="9.140625" customWidth="1"/>
    <col min="27" max="27" width="13.28515625" bestFit="1" customWidth="1"/>
    <col min="43" max="43" width="13.85546875" bestFit="1" customWidth="1"/>
    <col min="45" max="45" width="13.85546875" bestFit="1" customWidth="1"/>
    <col min="46" max="46" width="10" bestFit="1" customWidth="1"/>
  </cols>
  <sheetData>
    <row r="2" spans="2:17" ht="59.25" customHeight="1" x14ac:dyDescent="0.25">
      <c r="B2" s="116" t="s">
        <v>131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34"/>
      <c r="Q2" s="34"/>
    </row>
    <row r="3" spans="2:17" ht="35.1" customHeight="1" x14ac:dyDescent="0.25">
      <c r="B3" s="171" t="s">
        <v>128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29"/>
      <c r="Q3" s="29"/>
    </row>
    <row r="4" spans="2:17" ht="21.95" customHeight="1" x14ac:dyDescent="0.25">
      <c r="B4" s="21" t="s">
        <v>55</v>
      </c>
      <c r="C4" s="21"/>
      <c r="D4" s="21"/>
      <c r="E4" s="21"/>
      <c r="F4" s="21"/>
      <c r="G4" s="21"/>
      <c r="H4" s="21"/>
      <c r="I4" s="22"/>
      <c r="J4" s="28"/>
    </row>
    <row r="5" spans="2:17" ht="47.25" customHeight="1" x14ac:dyDescent="0.25">
      <c r="B5" s="164" t="s">
        <v>59</v>
      </c>
      <c r="C5" s="162" t="s">
        <v>37</v>
      </c>
      <c r="D5" s="163"/>
      <c r="E5" s="162" t="s">
        <v>40</v>
      </c>
      <c r="F5" s="163"/>
      <c r="G5" s="162" t="s">
        <v>88</v>
      </c>
      <c r="H5" s="163"/>
      <c r="I5" s="162" t="s">
        <v>42</v>
      </c>
      <c r="J5" s="163"/>
      <c r="K5" s="162" t="s">
        <v>43</v>
      </c>
      <c r="L5" s="163"/>
      <c r="M5" s="162" t="s">
        <v>39</v>
      </c>
      <c r="N5" s="163"/>
      <c r="O5" s="4" t="s">
        <v>0</v>
      </c>
    </row>
    <row r="6" spans="2:17" ht="16.899999999999999" customHeight="1" x14ac:dyDescent="0.25">
      <c r="B6" s="165"/>
      <c r="C6" s="168" t="s">
        <v>41</v>
      </c>
      <c r="D6" s="169"/>
      <c r="E6" s="170" t="s">
        <v>41</v>
      </c>
      <c r="F6" s="169"/>
      <c r="G6" s="170" t="s">
        <v>41</v>
      </c>
      <c r="H6" s="169"/>
      <c r="I6" s="170" t="s">
        <v>41</v>
      </c>
      <c r="J6" s="169"/>
      <c r="K6" s="170" t="s">
        <v>41</v>
      </c>
      <c r="L6" s="169"/>
      <c r="M6" s="170" t="s">
        <v>41</v>
      </c>
      <c r="N6" s="169"/>
      <c r="O6" s="6" t="s">
        <v>41</v>
      </c>
    </row>
    <row r="7" spans="2:17" ht="30" customHeight="1" x14ac:dyDescent="0.25">
      <c r="B7" s="166"/>
      <c r="C7" s="6" t="s">
        <v>64</v>
      </c>
      <c r="D7" s="6" t="s">
        <v>65</v>
      </c>
      <c r="E7" s="6" t="s">
        <v>64</v>
      </c>
      <c r="F7" s="6" t="s">
        <v>65</v>
      </c>
      <c r="G7" s="6" t="s">
        <v>64</v>
      </c>
      <c r="H7" s="6" t="s">
        <v>65</v>
      </c>
      <c r="I7" s="6" t="s">
        <v>64</v>
      </c>
      <c r="J7" s="6" t="s">
        <v>65</v>
      </c>
      <c r="K7" s="6" t="s">
        <v>64</v>
      </c>
      <c r="L7" s="6" t="s">
        <v>65</v>
      </c>
      <c r="M7" s="6" t="s">
        <v>64</v>
      </c>
      <c r="N7" s="6" t="s">
        <v>65</v>
      </c>
      <c r="O7" s="6" t="s">
        <v>65</v>
      </c>
    </row>
    <row r="8" spans="2:17" ht="21.95" customHeight="1" x14ac:dyDescent="0.25">
      <c r="B8" s="7">
        <v>1</v>
      </c>
      <c r="C8" s="8">
        <f>11540-2320</f>
        <v>9220</v>
      </c>
      <c r="D8" s="8">
        <v>2320</v>
      </c>
      <c r="E8" s="8">
        <v>9220</v>
      </c>
      <c r="F8" s="8">
        <v>2320</v>
      </c>
      <c r="G8" s="8">
        <v>9220</v>
      </c>
      <c r="H8" s="8">
        <v>2320</v>
      </c>
      <c r="I8" s="8">
        <v>9220</v>
      </c>
      <c r="J8" s="8">
        <v>2320</v>
      </c>
      <c r="K8" s="8">
        <v>9320</v>
      </c>
      <c r="L8" s="8">
        <v>2320</v>
      </c>
      <c r="M8" s="8">
        <v>9320</v>
      </c>
      <c r="N8" s="8">
        <v>2320</v>
      </c>
      <c r="O8" s="8">
        <v>2320</v>
      </c>
    </row>
    <row r="9" spans="2:17" ht="21.95" customHeight="1" x14ac:dyDescent="0.25">
      <c r="B9" s="7">
        <v>2</v>
      </c>
      <c r="C9" s="8">
        <f>1695-290</f>
        <v>1405</v>
      </c>
      <c r="D9" s="8">
        <v>290</v>
      </c>
      <c r="E9" s="8">
        <f t="shared" ref="E9" si="0">1695-290</f>
        <v>1405</v>
      </c>
      <c r="F9" s="8">
        <v>290</v>
      </c>
      <c r="G9" s="8">
        <f t="shared" ref="G9" si="1">1695-290</f>
        <v>1405</v>
      </c>
      <c r="H9" s="8">
        <v>290</v>
      </c>
      <c r="I9" s="8">
        <f t="shared" ref="I9" si="2">1695-290</f>
        <v>1405</v>
      </c>
      <c r="J9" s="8">
        <v>290</v>
      </c>
      <c r="K9" s="8">
        <f t="shared" ref="K9" si="3">1695-290</f>
        <v>1405</v>
      </c>
      <c r="L9" s="8">
        <v>290</v>
      </c>
      <c r="M9" s="8">
        <f t="shared" ref="M9" si="4">1695-290</f>
        <v>1405</v>
      </c>
      <c r="N9" s="8">
        <v>290</v>
      </c>
      <c r="O9" s="8">
        <v>290</v>
      </c>
    </row>
    <row r="10" spans="2:17" ht="21.95" customHeight="1" x14ac:dyDescent="0.25">
      <c r="B10" s="7">
        <v>3</v>
      </c>
      <c r="C10" s="8">
        <f>10461.5-647</f>
        <v>9814.5</v>
      </c>
      <c r="D10" s="8">
        <v>647</v>
      </c>
      <c r="E10" s="8">
        <f t="shared" ref="E10" si="5">10461.5-647</f>
        <v>9814.5</v>
      </c>
      <c r="F10" s="8">
        <v>647</v>
      </c>
      <c r="G10" s="8">
        <f t="shared" ref="G10" si="6">10461.5-647</f>
        <v>9814.5</v>
      </c>
      <c r="H10" s="8">
        <v>647</v>
      </c>
      <c r="I10" s="8">
        <f t="shared" ref="I10" si="7">10461.5-647</f>
        <v>9814.5</v>
      </c>
      <c r="J10" s="8">
        <v>647</v>
      </c>
      <c r="K10" s="8">
        <f t="shared" ref="K10" si="8">10461.5-647</f>
        <v>9814.5</v>
      </c>
      <c r="L10" s="8">
        <v>647</v>
      </c>
      <c r="M10" s="8">
        <f t="shared" ref="M10" si="9">10461.5-647</f>
        <v>9814.5</v>
      </c>
      <c r="N10" s="8">
        <v>647</v>
      </c>
      <c r="O10" s="8">
        <v>647</v>
      </c>
      <c r="Q10" s="31"/>
    </row>
    <row r="11" spans="2:17" ht="21.95" customHeight="1" x14ac:dyDescent="0.25">
      <c r="B11" s="7">
        <v>4</v>
      </c>
      <c r="C11" s="8">
        <f>1733-195</f>
        <v>1538</v>
      </c>
      <c r="D11" s="8">
        <v>195</v>
      </c>
      <c r="E11" s="8">
        <f t="shared" ref="E11" si="10">1733-195</f>
        <v>1538</v>
      </c>
      <c r="F11" s="8">
        <v>195</v>
      </c>
      <c r="G11" s="8">
        <f t="shared" ref="G11" si="11">1733-195</f>
        <v>1538</v>
      </c>
      <c r="H11" s="8">
        <v>195</v>
      </c>
      <c r="I11" s="8">
        <f t="shared" ref="I11" si="12">1733-195</f>
        <v>1538</v>
      </c>
      <c r="J11" s="8">
        <v>195</v>
      </c>
      <c r="K11" s="8">
        <f t="shared" ref="K11" si="13">1733-195</f>
        <v>1538</v>
      </c>
      <c r="L11" s="8">
        <v>195</v>
      </c>
      <c r="M11" s="8">
        <f t="shared" ref="M11" si="14">1733-195</f>
        <v>1538</v>
      </c>
      <c r="N11" s="8">
        <v>195</v>
      </c>
      <c r="O11" s="8">
        <v>195</v>
      </c>
    </row>
    <row r="12" spans="2:17" ht="22.15" customHeight="1" x14ac:dyDescent="0.25">
      <c r="B12" s="26" t="s">
        <v>5</v>
      </c>
      <c r="C12" s="11">
        <f t="shared" ref="C12:O12" si="15">SUM(C8:C11)</f>
        <v>21977.5</v>
      </c>
      <c r="D12" s="11">
        <f t="shared" si="15"/>
        <v>3452</v>
      </c>
      <c r="E12" s="11">
        <f t="shared" si="15"/>
        <v>21977.5</v>
      </c>
      <c r="F12" s="11">
        <f t="shared" si="15"/>
        <v>3452</v>
      </c>
      <c r="G12" s="11">
        <f t="shared" si="15"/>
        <v>21977.5</v>
      </c>
      <c r="H12" s="11">
        <f t="shared" si="15"/>
        <v>3452</v>
      </c>
      <c r="I12" s="11">
        <f t="shared" si="15"/>
        <v>21977.5</v>
      </c>
      <c r="J12" s="11">
        <f t="shared" si="15"/>
        <v>3452</v>
      </c>
      <c r="K12" s="11">
        <f t="shared" si="15"/>
        <v>22077.5</v>
      </c>
      <c r="L12" s="11">
        <f t="shared" si="15"/>
        <v>3452</v>
      </c>
      <c r="M12" s="11">
        <f t="shared" si="15"/>
        <v>22077.5</v>
      </c>
      <c r="N12" s="11">
        <f t="shared" si="15"/>
        <v>3452</v>
      </c>
      <c r="O12" s="11">
        <f t="shared" si="15"/>
        <v>3452</v>
      </c>
    </row>
    <row r="13" spans="2:17" ht="33.75" x14ac:dyDescent="0.25">
      <c r="B13" s="25" t="s">
        <v>61</v>
      </c>
      <c r="C13" s="7">
        <f t="shared" ref="C13:O13" si="16">+COUNTA(C8:C11)</f>
        <v>4</v>
      </c>
      <c r="D13" s="7">
        <f t="shared" si="16"/>
        <v>4</v>
      </c>
      <c r="E13" s="7">
        <f t="shared" si="16"/>
        <v>4</v>
      </c>
      <c r="F13" s="7">
        <f t="shared" si="16"/>
        <v>4</v>
      </c>
      <c r="G13" s="7">
        <f t="shared" si="16"/>
        <v>4</v>
      </c>
      <c r="H13" s="7">
        <f t="shared" si="16"/>
        <v>4</v>
      </c>
      <c r="I13" s="7">
        <f t="shared" si="16"/>
        <v>4</v>
      </c>
      <c r="J13" s="7">
        <f t="shared" si="16"/>
        <v>4</v>
      </c>
      <c r="K13" s="7">
        <f t="shared" si="16"/>
        <v>4</v>
      </c>
      <c r="L13" s="7">
        <f t="shared" si="16"/>
        <v>4</v>
      </c>
      <c r="M13" s="7">
        <f t="shared" si="16"/>
        <v>4</v>
      </c>
      <c r="N13" s="7">
        <f t="shared" si="16"/>
        <v>4</v>
      </c>
      <c r="O13" s="7">
        <f t="shared" si="16"/>
        <v>4</v>
      </c>
    </row>
    <row r="18" spans="3:3" x14ac:dyDescent="0.25">
      <c r="C18" s="31"/>
    </row>
  </sheetData>
  <sheetProtection formatCells="0" formatColumns="0" formatRows="0" insertColumns="0" insertRows="0" insertHyperlinks="0" deleteColumns="0" deleteRows="0"/>
  <mergeCells count="15">
    <mergeCell ref="M5:N5"/>
    <mergeCell ref="B5:B7"/>
    <mergeCell ref="B2:O2"/>
    <mergeCell ref="C6:D6"/>
    <mergeCell ref="C5:D5"/>
    <mergeCell ref="E6:F6"/>
    <mergeCell ref="G6:H6"/>
    <mergeCell ref="I6:J6"/>
    <mergeCell ref="K6:L6"/>
    <mergeCell ref="E5:F5"/>
    <mergeCell ref="G5:H5"/>
    <mergeCell ref="I5:J5"/>
    <mergeCell ref="K5:L5"/>
    <mergeCell ref="M6:N6"/>
    <mergeCell ref="B3:O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showGridLines="0" tabSelected="1" zoomScale="90" zoomScaleNormal="90" workbookViewId="0">
      <pane xSplit="3" topLeftCell="D1" activePane="topRight" state="frozen"/>
      <selection pane="topRight" activeCell="D31" sqref="D31"/>
    </sheetView>
  </sheetViews>
  <sheetFormatPr defaultRowHeight="15" x14ac:dyDescent="0.25"/>
  <cols>
    <col min="1" max="1" width="3.5703125" customWidth="1"/>
    <col min="2" max="2" width="10.7109375" style="3" customWidth="1"/>
    <col min="3" max="3" width="68.28515625" customWidth="1"/>
    <col min="4" max="12" width="9.42578125" customWidth="1"/>
  </cols>
  <sheetData>
    <row r="2" spans="2:13" ht="51.6" customHeight="1" x14ac:dyDescent="0.25">
      <c r="B2" s="116" t="s">
        <v>132</v>
      </c>
      <c r="C2" s="116"/>
      <c r="D2" s="116"/>
      <c r="E2" s="116"/>
      <c r="F2" s="116"/>
      <c r="G2" s="116"/>
      <c r="H2" s="116"/>
      <c r="I2" s="116"/>
      <c r="J2" s="116"/>
      <c r="K2" s="117"/>
      <c r="L2" s="117"/>
      <c r="M2" s="117"/>
    </row>
    <row r="3" spans="2:13" ht="35.1" customHeight="1" x14ac:dyDescent="0.25">
      <c r="B3" s="27" t="s">
        <v>128</v>
      </c>
      <c r="C3" s="16"/>
    </row>
    <row r="4" spans="2:13" ht="21.95" customHeight="1" x14ac:dyDescent="0.25">
      <c r="B4" s="21" t="s">
        <v>66</v>
      </c>
      <c r="C4" s="21"/>
    </row>
    <row r="5" spans="2:13" ht="24" customHeight="1" x14ac:dyDescent="0.25">
      <c r="B5" s="179" t="s">
        <v>46</v>
      </c>
      <c r="C5" s="179" t="s">
        <v>20</v>
      </c>
      <c r="D5" s="175" t="s">
        <v>47</v>
      </c>
      <c r="E5" s="176"/>
      <c r="F5" s="175" t="s">
        <v>48</v>
      </c>
      <c r="G5" s="176"/>
      <c r="H5" s="175" t="s">
        <v>49</v>
      </c>
      <c r="I5" s="176"/>
      <c r="J5" s="175" t="s">
        <v>50</v>
      </c>
      <c r="K5" s="176"/>
      <c r="L5" s="177" t="s">
        <v>63</v>
      </c>
      <c r="M5" s="178"/>
    </row>
    <row r="6" spans="2:13" ht="19.899999999999999" customHeight="1" x14ac:dyDescent="0.25">
      <c r="B6" s="180"/>
      <c r="C6" s="180"/>
      <c r="D6" s="6" t="s">
        <v>44</v>
      </c>
      <c r="E6" s="6" t="s">
        <v>45</v>
      </c>
      <c r="F6" s="6" t="s">
        <v>44</v>
      </c>
      <c r="G6" s="6" t="s">
        <v>45</v>
      </c>
      <c r="H6" s="6" t="s">
        <v>44</v>
      </c>
      <c r="I6" s="6" t="s">
        <v>45</v>
      </c>
      <c r="J6" s="6" t="s">
        <v>44</v>
      </c>
      <c r="K6" s="6" t="s">
        <v>45</v>
      </c>
      <c r="L6" s="6" t="s">
        <v>44</v>
      </c>
      <c r="M6" s="6" t="s">
        <v>45</v>
      </c>
    </row>
    <row r="7" spans="2:13" x14ac:dyDescent="0.25">
      <c r="B7" s="35" t="s">
        <v>10</v>
      </c>
      <c r="C7" s="32" t="s">
        <v>1</v>
      </c>
      <c r="D7" s="32">
        <v>100</v>
      </c>
      <c r="E7" s="9">
        <v>6</v>
      </c>
      <c r="F7" s="9">
        <v>60</v>
      </c>
      <c r="G7" s="9">
        <v>6</v>
      </c>
      <c r="H7" s="9">
        <v>100</v>
      </c>
      <c r="I7" s="9">
        <v>6</v>
      </c>
      <c r="J7" s="9">
        <v>30</v>
      </c>
      <c r="K7" s="9">
        <v>1</v>
      </c>
      <c r="L7" s="11">
        <f>+D7+F7+H7+J7</f>
        <v>290</v>
      </c>
      <c r="M7" s="11">
        <v>6</v>
      </c>
    </row>
    <row r="8" spans="2:13" x14ac:dyDescent="0.25">
      <c r="B8" s="36" t="s">
        <v>8</v>
      </c>
      <c r="C8" s="37" t="s">
        <v>2</v>
      </c>
      <c r="D8" s="9"/>
      <c r="E8" s="9"/>
      <c r="F8" s="9">
        <v>10</v>
      </c>
      <c r="G8" s="9">
        <v>2</v>
      </c>
      <c r="H8" s="9"/>
      <c r="I8" s="9"/>
      <c r="J8" s="9"/>
      <c r="K8" s="9"/>
      <c r="L8" s="11">
        <f>+D8+F8+H8+J8</f>
        <v>10</v>
      </c>
      <c r="M8" s="11">
        <f>+E8+G8+I8+K8</f>
        <v>2</v>
      </c>
    </row>
    <row r="9" spans="2:13" s="20" customFormat="1" ht="12" x14ac:dyDescent="0.2">
      <c r="B9" s="19" t="s">
        <v>9</v>
      </c>
      <c r="C9" s="20" t="s">
        <v>51</v>
      </c>
    </row>
    <row r="10" spans="2:13" x14ac:dyDescent="0.25">
      <c r="B10" s="173" t="s">
        <v>62</v>
      </c>
      <c r="C10" s="174"/>
      <c r="D10" s="9">
        <f t="shared" ref="D10:K10" si="0">+SUM(D7:D8)</f>
        <v>100</v>
      </c>
      <c r="E10" s="9">
        <f t="shared" si="0"/>
        <v>6</v>
      </c>
      <c r="F10" s="9">
        <f t="shared" si="0"/>
        <v>70</v>
      </c>
      <c r="G10" s="9">
        <f t="shared" si="0"/>
        <v>8</v>
      </c>
      <c r="H10" s="9">
        <f t="shared" si="0"/>
        <v>100</v>
      </c>
      <c r="I10" s="9">
        <f t="shared" si="0"/>
        <v>6</v>
      </c>
      <c r="J10" s="9">
        <f t="shared" si="0"/>
        <v>30</v>
      </c>
      <c r="K10" s="9">
        <f t="shared" si="0"/>
        <v>1</v>
      </c>
    </row>
  </sheetData>
  <sheetProtection formatCells="0" formatColumns="0" formatRows="0" insertColumns="0" insertRows="0" insertHyperlinks="0" deleteColumns="0" deleteRows="0"/>
  <mergeCells count="9">
    <mergeCell ref="B10:C10"/>
    <mergeCell ref="H5:I5"/>
    <mergeCell ref="J5:K5"/>
    <mergeCell ref="B2:M2"/>
    <mergeCell ref="L5:M5"/>
    <mergeCell ref="B5:B6"/>
    <mergeCell ref="C5:C6"/>
    <mergeCell ref="D5:E5"/>
    <mergeCell ref="F5:G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showGridLines="0" workbookViewId="0">
      <selection activeCell="B12" sqref="B12"/>
    </sheetView>
  </sheetViews>
  <sheetFormatPr defaultRowHeight="15" x14ac:dyDescent="0.25"/>
  <cols>
    <col min="1" max="1" width="6.7109375" customWidth="1"/>
    <col min="2" max="2" width="90.7109375" customWidth="1"/>
  </cols>
  <sheetData>
    <row r="2" spans="2:2" x14ac:dyDescent="0.25">
      <c r="B2" s="2" t="s">
        <v>19</v>
      </c>
    </row>
    <row r="3" spans="2:2" ht="18" x14ac:dyDescent="0.25">
      <c r="B3" s="1" t="s">
        <v>15</v>
      </c>
    </row>
    <row r="4" spans="2:2" ht="18" x14ac:dyDescent="0.25">
      <c r="B4" s="1" t="s">
        <v>11</v>
      </c>
    </row>
    <row r="5" spans="2:2" x14ac:dyDescent="0.25">
      <c r="B5" s="1" t="s">
        <v>12</v>
      </c>
    </row>
    <row r="6" spans="2:2" x14ac:dyDescent="0.25">
      <c r="B6" s="1" t="s">
        <v>13</v>
      </c>
    </row>
    <row r="7" spans="2:2" ht="18" x14ac:dyDescent="0.25">
      <c r="B7" s="1" t="s">
        <v>16</v>
      </c>
    </row>
    <row r="8" spans="2:2" x14ac:dyDescent="0.25">
      <c r="B8" s="1" t="s">
        <v>14</v>
      </c>
    </row>
    <row r="9" spans="2:2" ht="18" x14ac:dyDescent="0.25">
      <c r="B9" s="1" t="s">
        <v>18</v>
      </c>
    </row>
    <row r="10" spans="2:2" x14ac:dyDescent="0.25">
      <c r="B10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ANAGRAFICA</vt:lpstr>
      <vt:lpstr>PUL_AB MQ</vt:lpstr>
      <vt:lpstr>PUL PRP_AB ORE</vt:lpstr>
      <vt:lpstr>DIS_AB</vt:lpstr>
      <vt:lpstr>SMA_AB</vt:lpstr>
      <vt:lpstr>Riepilogo Canoni</vt:lpstr>
      <vt:lpstr>ANAGRAFICA!_Toc518481871</vt:lpstr>
      <vt:lpstr>DIS_AB!_Toc518481871</vt:lpstr>
      <vt:lpstr>'PUL PRP_AB ORE'!_Toc518481871</vt:lpstr>
      <vt:lpstr>'PUL_AB MQ'!_Toc518481871</vt:lpstr>
      <vt:lpstr>SMA_AB!_Toc518481871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2016-11-29T15:11:03Z</dcterms:created>
  <dcterms:modified xsi:type="dcterms:W3CDTF">2022-12-07T10:56:07Z</dcterms:modified>
</cp:coreProperties>
</file>